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7193C995-7B17-4730-90E2-9B748F7D611D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0" i="1" l="1"/>
  <c r="F640" i="1"/>
  <c r="E640" i="1"/>
  <c r="H639" i="1"/>
  <c r="H638" i="1" s="1"/>
  <c r="F639" i="1"/>
  <c r="E639" i="1"/>
  <c r="F638" i="1"/>
  <c r="H637" i="1"/>
  <c r="H636" i="1" s="1"/>
  <c r="F637" i="1"/>
  <c r="F636" i="1" s="1"/>
  <c r="E637" i="1"/>
  <c r="E636" i="1"/>
  <c r="H635" i="1"/>
  <c r="H634" i="1" s="1"/>
  <c r="F635" i="1"/>
  <c r="E635" i="1"/>
  <c r="E634" i="1" s="1"/>
  <c r="F634" i="1"/>
  <c r="H632" i="1"/>
  <c r="H631" i="1" s="1"/>
  <c r="F632" i="1"/>
  <c r="F631" i="1" s="1"/>
  <c r="E632" i="1"/>
  <c r="E631" i="1" s="1"/>
  <c r="H630" i="1"/>
  <c r="H629" i="1" s="1"/>
  <c r="H628" i="1" s="1"/>
  <c r="F630" i="1"/>
  <c r="F629" i="1" s="1"/>
  <c r="F628" i="1" s="1"/>
  <c r="E630" i="1"/>
  <c r="E629" i="1" s="1"/>
  <c r="E628" i="1" s="1"/>
  <c r="H626" i="1"/>
  <c r="H625" i="1" s="1"/>
  <c r="F626" i="1"/>
  <c r="F625" i="1" s="1"/>
  <c r="E626" i="1"/>
  <c r="E625" i="1" s="1"/>
  <c r="H624" i="1"/>
  <c r="F624" i="1"/>
  <c r="E624" i="1"/>
  <c r="H623" i="1"/>
  <c r="F623" i="1"/>
  <c r="E623" i="1"/>
  <c r="H620" i="1"/>
  <c r="F620" i="1"/>
  <c r="E620" i="1"/>
  <c r="H619" i="1"/>
  <c r="F619" i="1"/>
  <c r="E619" i="1"/>
  <c r="H618" i="1"/>
  <c r="F618" i="1"/>
  <c r="E618" i="1"/>
  <c r="H617" i="1"/>
  <c r="F617" i="1"/>
  <c r="E617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1" i="1"/>
  <c r="F611" i="1"/>
  <c r="E611" i="1"/>
  <c r="H609" i="1"/>
  <c r="F609" i="1"/>
  <c r="E609" i="1"/>
  <c r="H608" i="1"/>
  <c r="F608" i="1"/>
  <c r="E608" i="1"/>
  <c r="H607" i="1"/>
  <c r="F607" i="1"/>
  <c r="E607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9" i="1"/>
  <c r="F599" i="1"/>
  <c r="E599" i="1"/>
  <c r="H598" i="1"/>
  <c r="F598" i="1"/>
  <c r="E598" i="1"/>
  <c r="H597" i="1"/>
  <c r="F597" i="1"/>
  <c r="E597" i="1"/>
  <c r="H596" i="1"/>
  <c r="F596" i="1"/>
  <c r="E596" i="1"/>
  <c r="H595" i="1"/>
  <c r="F595" i="1"/>
  <c r="E595" i="1"/>
  <c r="H593" i="1"/>
  <c r="H592" i="1" s="1"/>
  <c r="F593" i="1"/>
  <c r="F592" i="1" s="1"/>
  <c r="E593" i="1"/>
  <c r="E592" i="1" s="1"/>
  <c r="H591" i="1"/>
  <c r="F591" i="1"/>
  <c r="E591" i="1"/>
  <c r="H590" i="1"/>
  <c r="F590" i="1"/>
  <c r="E590" i="1"/>
  <c r="H589" i="1"/>
  <c r="F589" i="1"/>
  <c r="E589" i="1"/>
  <c r="H588" i="1"/>
  <c r="F588" i="1"/>
  <c r="E588" i="1"/>
  <c r="H586" i="1"/>
  <c r="F586" i="1"/>
  <c r="E586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70" i="1"/>
  <c r="F570" i="1"/>
  <c r="E570" i="1"/>
  <c r="H569" i="1"/>
  <c r="F569" i="1"/>
  <c r="E569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H556" i="1"/>
  <c r="F556" i="1"/>
  <c r="E556" i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F548" i="1"/>
  <c r="E548" i="1"/>
  <c r="H547" i="1"/>
  <c r="F547" i="1"/>
  <c r="E547" i="1"/>
  <c r="H546" i="1"/>
  <c r="F546" i="1"/>
  <c r="E546" i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37" i="1"/>
  <c r="H536" i="1" s="1"/>
  <c r="F537" i="1"/>
  <c r="F536" i="1" s="1"/>
  <c r="E537" i="1"/>
  <c r="E536" i="1" s="1"/>
  <c r="H535" i="1"/>
  <c r="F535" i="1"/>
  <c r="E535" i="1"/>
  <c r="H534" i="1"/>
  <c r="H533" i="1" s="1"/>
  <c r="F534" i="1"/>
  <c r="F533" i="1" s="1"/>
  <c r="E534" i="1"/>
  <c r="E533" i="1" s="1"/>
  <c r="H531" i="1"/>
  <c r="F531" i="1"/>
  <c r="E531" i="1"/>
  <c r="H530" i="1"/>
  <c r="F530" i="1"/>
  <c r="E530" i="1"/>
  <c r="H529" i="1"/>
  <c r="F529" i="1"/>
  <c r="E529" i="1"/>
  <c r="H526" i="1"/>
  <c r="F526" i="1"/>
  <c r="E526" i="1"/>
  <c r="H525" i="1"/>
  <c r="F525" i="1"/>
  <c r="E525" i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20" i="1"/>
  <c r="F520" i="1"/>
  <c r="E520" i="1"/>
  <c r="H518" i="1"/>
  <c r="H517" i="1" s="1"/>
  <c r="F518" i="1"/>
  <c r="F517" i="1" s="1"/>
  <c r="E518" i="1"/>
  <c r="E517" i="1" s="1"/>
  <c r="H516" i="1"/>
  <c r="F516" i="1"/>
  <c r="E516" i="1"/>
  <c r="H515" i="1"/>
  <c r="F515" i="1"/>
  <c r="E515" i="1"/>
  <c r="H514" i="1"/>
  <c r="F514" i="1"/>
  <c r="E514" i="1"/>
  <c r="H513" i="1"/>
  <c r="F513" i="1"/>
  <c r="E513" i="1"/>
  <c r="H512" i="1"/>
  <c r="F512" i="1"/>
  <c r="E512" i="1"/>
  <c r="H510" i="1"/>
  <c r="H509" i="1" s="1"/>
  <c r="F510" i="1"/>
  <c r="F509" i="1" s="1"/>
  <c r="E510" i="1"/>
  <c r="E509" i="1" s="1"/>
  <c r="H508" i="1"/>
  <c r="F508" i="1"/>
  <c r="E508" i="1"/>
  <c r="H507" i="1"/>
  <c r="F507" i="1"/>
  <c r="E507" i="1"/>
  <c r="H506" i="1"/>
  <c r="F506" i="1"/>
  <c r="E506" i="1"/>
  <c r="H504" i="1"/>
  <c r="H503" i="1" s="1"/>
  <c r="F504" i="1"/>
  <c r="F503" i="1" s="1"/>
  <c r="E504" i="1"/>
  <c r="E503" i="1" s="1"/>
  <c r="H502" i="1"/>
  <c r="F502" i="1"/>
  <c r="E502" i="1"/>
  <c r="H501" i="1"/>
  <c r="F501" i="1"/>
  <c r="E501" i="1"/>
  <c r="H500" i="1"/>
  <c r="F500" i="1"/>
  <c r="E500" i="1"/>
  <c r="H499" i="1"/>
  <c r="F499" i="1"/>
  <c r="E499" i="1"/>
  <c r="H498" i="1"/>
  <c r="F498" i="1"/>
  <c r="E498" i="1"/>
  <c r="H495" i="1"/>
  <c r="F495" i="1"/>
  <c r="E495" i="1"/>
  <c r="H494" i="1"/>
  <c r="F494" i="1"/>
  <c r="E494" i="1"/>
  <c r="H492" i="1"/>
  <c r="F492" i="1"/>
  <c r="E492" i="1"/>
  <c r="H491" i="1"/>
  <c r="F491" i="1"/>
  <c r="E491" i="1"/>
  <c r="H490" i="1"/>
  <c r="F490" i="1"/>
  <c r="E490" i="1"/>
  <c r="H489" i="1"/>
  <c r="F489" i="1"/>
  <c r="E489" i="1"/>
  <c r="H488" i="1"/>
  <c r="F488" i="1"/>
  <c r="E488" i="1"/>
  <c r="H486" i="1"/>
  <c r="F486" i="1"/>
  <c r="E486" i="1"/>
  <c r="H485" i="1"/>
  <c r="F485" i="1"/>
  <c r="E485" i="1"/>
  <c r="E484" i="1" s="1"/>
  <c r="H481" i="1"/>
  <c r="F481" i="1"/>
  <c r="E481" i="1"/>
  <c r="H480" i="1"/>
  <c r="F480" i="1"/>
  <c r="E480" i="1"/>
  <c r="H479" i="1"/>
  <c r="F479" i="1"/>
  <c r="E479" i="1"/>
  <c r="H475" i="1"/>
  <c r="F475" i="1"/>
  <c r="E475" i="1"/>
  <c r="H474" i="1"/>
  <c r="F474" i="1"/>
  <c r="E474" i="1"/>
  <c r="H473" i="1"/>
  <c r="F473" i="1"/>
  <c r="E473" i="1"/>
  <c r="H472" i="1"/>
  <c r="F472" i="1"/>
  <c r="E472" i="1"/>
  <c r="H470" i="1"/>
  <c r="F470" i="1"/>
  <c r="E470" i="1"/>
  <c r="H469" i="1"/>
  <c r="F469" i="1"/>
  <c r="E469" i="1"/>
  <c r="H468" i="1"/>
  <c r="F468" i="1"/>
  <c r="E468" i="1"/>
  <c r="H467" i="1"/>
  <c r="F467" i="1"/>
  <c r="E467" i="1"/>
  <c r="H466" i="1"/>
  <c r="F466" i="1"/>
  <c r="E466" i="1"/>
  <c r="H465" i="1"/>
  <c r="F465" i="1"/>
  <c r="E465" i="1"/>
  <c r="H464" i="1"/>
  <c r="F464" i="1"/>
  <c r="E464" i="1"/>
  <c r="H463" i="1"/>
  <c r="F463" i="1"/>
  <c r="E463" i="1"/>
  <c r="H462" i="1"/>
  <c r="F462" i="1"/>
  <c r="E462" i="1"/>
  <c r="H461" i="1"/>
  <c r="F461" i="1"/>
  <c r="E461" i="1"/>
  <c r="H459" i="1"/>
  <c r="F459" i="1"/>
  <c r="E459" i="1"/>
  <c r="H458" i="1"/>
  <c r="F458" i="1"/>
  <c r="E458" i="1"/>
  <c r="H456" i="1"/>
  <c r="H455" i="1" s="1"/>
  <c r="F456" i="1"/>
  <c r="F455" i="1" s="1"/>
  <c r="E456" i="1"/>
  <c r="E455" i="1" s="1"/>
  <c r="H453" i="1"/>
  <c r="F453" i="1"/>
  <c r="E453" i="1"/>
  <c r="H452" i="1"/>
  <c r="F452" i="1"/>
  <c r="E452" i="1"/>
  <c r="H451" i="1"/>
  <c r="F451" i="1"/>
  <c r="E451" i="1"/>
  <c r="H450" i="1"/>
  <c r="F450" i="1"/>
  <c r="E450" i="1"/>
  <c r="H446" i="1"/>
  <c r="H445" i="1" s="1"/>
  <c r="F446" i="1"/>
  <c r="F445" i="1" s="1"/>
  <c r="E446" i="1"/>
  <c r="E445" i="1" s="1"/>
  <c r="H444" i="1"/>
  <c r="H443" i="1" s="1"/>
  <c r="F444" i="1"/>
  <c r="F443" i="1" s="1"/>
  <c r="E444" i="1"/>
  <c r="E443" i="1" s="1"/>
  <c r="H442" i="1"/>
  <c r="H441" i="1" s="1"/>
  <c r="F442" i="1"/>
  <c r="F441" i="1" s="1"/>
  <c r="E442" i="1"/>
  <c r="E441" i="1" s="1"/>
  <c r="H439" i="1"/>
  <c r="H438" i="1" s="1"/>
  <c r="F439" i="1"/>
  <c r="F438" i="1" s="1"/>
  <c r="E439" i="1"/>
  <c r="E438" i="1" s="1"/>
  <c r="H437" i="1"/>
  <c r="F437" i="1"/>
  <c r="E437" i="1"/>
  <c r="H436" i="1"/>
  <c r="F436" i="1"/>
  <c r="E436" i="1"/>
  <c r="H435" i="1"/>
  <c r="F435" i="1"/>
  <c r="E435" i="1"/>
  <c r="H434" i="1"/>
  <c r="F434" i="1"/>
  <c r="E434" i="1"/>
  <c r="H433" i="1"/>
  <c r="F433" i="1"/>
  <c r="E433" i="1"/>
  <c r="H430" i="1"/>
  <c r="H429" i="1" s="1"/>
  <c r="H428" i="1" s="1"/>
  <c r="F430" i="1"/>
  <c r="F429" i="1" s="1"/>
  <c r="F428" i="1" s="1"/>
  <c r="E430" i="1"/>
  <c r="E429" i="1" s="1"/>
  <c r="E428" i="1" s="1"/>
  <c r="H427" i="1"/>
  <c r="F427" i="1"/>
  <c r="E427" i="1"/>
  <c r="H426" i="1"/>
  <c r="F426" i="1"/>
  <c r="E426" i="1"/>
  <c r="H425" i="1"/>
  <c r="F425" i="1"/>
  <c r="E425" i="1"/>
  <c r="H424" i="1"/>
  <c r="F424" i="1"/>
  <c r="E424" i="1"/>
  <c r="H422" i="1"/>
  <c r="F422" i="1"/>
  <c r="E422" i="1"/>
  <c r="H421" i="1"/>
  <c r="F421" i="1"/>
  <c r="E421" i="1"/>
  <c r="H419" i="1"/>
  <c r="F419" i="1"/>
  <c r="E419" i="1"/>
  <c r="H418" i="1"/>
  <c r="F418" i="1"/>
  <c r="E418" i="1"/>
  <c r="H417" i="1"/>
  <c r="F417" i="1"/>
  <c r="E417" i="1"/>
  <c r="H416" i="1"/>
  <c r="F416" i="1"/>
  <c r="E416" i="1"/>
  <c r="H415" i="1"/>
  <c r="F415" i="1"/>
  <c r="E415" i="1"/>
  <c r="H414" i="1"/>
  <c r="F414" i="1"/>
  <c r="E414" i="1"/>
  <c r="H413" i="1"/>
  <c r="F413" i="1"/>
  <c r="E413" i="1"/>
  <c r="H409" i="1"/>
  <c r="F409" i="1"/>
  <c r="E409" i="1"/>
  <c r="H408" i="1"/>
  <c r="F408" i="1"/>
  <c r="E408" i="1"/>
  <c r="H407" i="1"/>
  <c r="F407" i="1"/>
  <c r="E407" i="1"/>
  <c r="H406" i="1"/>
  <c r="F406" i="1"/>
  <c r="E406" i="1"/>
  <c r="H405" i="1"/>
  <c r="F405" i="1"/>
  <c r="E405" i="1"/>
  <c r="H402" i="1"/>
  <c r="F402" i="1"/>
  <c r="E402" i="1"/>
  <c r="H401" i="1"/>
  <c r="F401" i="1"/>
  <c r="E401" i="1"/>
  <c r="H400" i="1"/>
  <c r="F400" i="1"/>
  <c r="E400" i="1"/>
  <c r="H398" i="1"/>
  <c r="F398" i="1"/>
  <c r="E398" i="1"/>
  <c r="H397" i="1"/>
  <c r="F397" i="1"/>
  <c r="E397" i="1"/>
  <c r="H395" i="1"/>
  <c r="H394" i="1" s="1"/>
  <c r="H393" i="1" s="1"/>
  <c r="F395" i="1"/>
  <c r="F394" i="1" s="1"/>
  <c r="F393" i="1" s="1"/>
  <c r="E395" i="1"/>
  <c r="E394" i="1" s="1"/>
  <c r="E393" i="1" s="1"/>
  <c r="H392" i="1"/>
  <c r="H391" i="1" s="1"/>
  <c r="F392" i="1"/>
  <c r="F391" i="1" s="1"/>
  <c r="E392" i="1"/>
  <c r="E391" i="1" s="1"/>
  <c r="H390" i="1"/>
  <c r="H389" i="1" s="1"/>
  <c r="F390" i="1"/>
  <c r="F389" i="1" s="1"/>
  <c r="E390" i="1"/>
  <c r="E389" i="1" s="1"/>
  <c r="H388" i="1"/>
  <c r="F388" i="1"/>
  <c r="E388" i="1"/>
  <c r="H387" i="1"/>
  <c r="F387" i="1"/>
  <c r="E387" i="1"/>
  <c r="H386" i="1"/>
  <c r="F386" i="1"/>
  <c r="E386" i="1"/>
  <c r="H382" i="1"/>
  <c r="F382" i="1"/>
  <c r="E382" i="1"/>
  <c r="H381" i="1"/>
  <c r="F381" i="1"/>
  <c r="E381" i="1"/>
  <c r="H380" i="1"/>
  <c r="F380" i="1"/>
  <c r="E380" i="1"/>
  <c r="H379" i="1"/>
  <c r="F379" i="1"/>
  <c r="E379" i="1"/>
  <c r="H377" i="1"/>
  <c r="H376" i="1" s="1"/>
  <c r="F377" i="1"/>
  <c r="F376" i="1" s="1"/>
  <c r="E377" i="1"/>
  <c r="E376" i="1" s="1"/>
  <c r="H375" i="1"/>
  <c r="F375" i="1"/>
  <c r="E375" i="1"/>
  <c r="H374" i="1"/>
  <c r="F374" i="1"/>
  <c r="E374" i="1"/>
  <c r="H373" i="1"/>
  <c r="F373" i="1"/>
  <c r="E373" i="1"/>
  <c r="H372" i="1"/>
  <c r="F372" i="1"/>
  <c r="E372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4" i="1"/>
  <c r="F364" i="1"/>
  <c r="E364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9" i="1"/>
  <c r="F359" i="1"/>
  <c r="E359" i="1"/>
  <c r="H358" i="1"/>
  <c r="F358" i="1"/>
  <c r="E358" i="1"/>
  <c r="H357" i="1"/>
  <c r="F357" i="1"/>
  <c r="E357" i="1"/>
  <c r="H356" i="1"/>
  <c r="F356" i="1"/>
  <c r="E356" i="1"/>
  <c r="H355" i="1"/>
  <c r="F355" i="1"/>
  <c r="E355" i="1"/>
  <c r="H354" i="1"/>
  <c r="F354" i="1"/>
  <c r="E354" i="1"/>
  <c r="H353" i="1"/>
  <c r="F353" i="1"/>
  <c r="E353" i="1"/>
  <c r="H352" i="1"/>
  <c r="F352" i="1"/>
  <c r="E352" i="1"/>
  <c r="H351" i="1"/>
  <c r="F351" i="1"/>
  <c r="E351" i="1"/>
  <c r="H350" i="1"/>
  <c r="F350" i="1"/>
  <c r="E350" i="1"/>
  <c r="H349" i="1"/>
  <c r="F349" i="1"/>
  <c r="E349" i="1"/>
  <c r="H348" i="1"/>
  <c r="F348" i="1"/>
  <c r="E348" i="1"/>
  <c r="H347" i="1"/>
  <c r="F347" i="1"/>
  <c r="E347" i="1"/>
  <c r="H346" i="1"/>
  <c r="F346" i="1"/>
  <c r="E346" i="1"/>
  <c r="H345" i="1"/>
  <c r="F345" i="1"/>
  <c r="E345" i="1"/>
  <c r="H343" i="1"/>
  <c r="F343" i="1"/>
  <c r="E343" i="1"/>
  <c r="H342" i="1"/>
  <c r="F342" i="1"/>
  <c r="E342" i="1"/>
  <c r="H339" i="1"/>
  <c r="F339" i="1"/>
  <c r="E339" i="1"/>
  <c r="H336" i="1"/>
  <c r="F336" i="1"/>
  <c r="E336" i="1"/>
  <c r="H335" i="1"/>
  <c r="F335" i="1"/>
  <c r="E335" i="1"/>
  <c r="H334" i="1"/>
  <c r="F334" i="1"/>
  <c r="E334" i="1"/>
  <c r="H333" i="1"/>
  <c r="F333" i="1"/>
  <c r="E333" i="1"/>
  <c r="H330" i="1"/>
  <c r="F330" i="1"/>
  <c r="E330" i="1"/>
  <c r="H329" i="1"/>
  <c r="F329" i="1"/>
  <c r="E329" i="1"/>
  <c r="H328" i="1"/>
  <c r="F328" i="1"/>
  <c r="E328" i="1"/>
  <c r="H326" i="1"/>
  <c r="F326" i="1"/>
  <c r="E326" i="1"/>
  <c r="H325" i="1"/>
  <c r="F325" i="1"/>
  <c r="E325" i="1"/>
  <c r="H323" i="1"/>
  <c r="H322" i="1" s="1"/>
  <c r="F323" i="1"/>
  <c r="F322" i="1" s="1"/>
  <c r="E323" i="1"/>
  <c r="E322" i="1" s="1"/>
  <c r="H320" i="1"/>
  <c r="H319" i="1" s="1"/>
  <c r="F320" i="1"/>
  <c r="F319" i="1" s="1"/>
  <c r="E320" i="1"/>
  <c r="E319" i="1" s="1"/>
  <c r="H318" i="1"/>
  <c r="H317" i="1" s="1"/>
  <c r="F318" i="1"/>
  <c r="F317" i="1" s="1"/>
  <c r="E318" i="1"/>
  <c r="E317" i="1" s="1"/>
  <c r="H316" i="1"/>
  <c r="F316" i="1"/>
  <c r="E316" i="1"/>
  <c r="H315" i="1"/>
  <c r="F315" i="1"/>
  <c r="E315" i="1"/>
  <c r="H311" i="1"/>
  <c r="H310" i="1" s="1"/>
  <c r="F311" i="1"/>
  <c r="F310" i="1" s="1"/>
  <c r="E311" i="1"/>
  <c r="E310" i="1" s="1"/>
  <c r="H309" i="1"/>
  <c r="F309" i="1"/>
  <c r="E309" i="1"/>
  <c r="H308" i="1"/>
  <c r="F308" i="1"/>
  <c r="E308" i="1"/>
  <c r="H307" i="1"/>
  <c r="F307" i="1"/>
  <c r="E307" i="1"/>
  <c r="H304" i="1"/>
  <c r="F304" i="1"/>
  <c r="E304" i="1"/>
  <c r="H303" i="1"/>
  <c r="H302" i="1" s="1"/>
  <c r="F303" i="1"/>
  <c r="F302" i="1" s="1"/>
  <c r="E303" i="1"/>
  <c r="E302" i="1" s="1"/>
  <c r="H301" i="1"/>
  <c r="F301" i="1"/>
  <c r="E301" i="1"/>
  <c r="H298" i="1"/>
  <c r="F298" i="1"/>
  <c r="E298" i="1"/>
  <c r="H297" i="1"/>
  <c r="F297" i="1"/>
  <c r="E297" i="1"/>
  <c r="H296" i="1"/>
  <c r="H295" i="1" s="1"/>
  <c r="F296" i="1"/>
  <c r="F295" i="1" s="1"/>
  <c r="E296" i="1"/>
  <c r="E295" i="1" s="1"/>
  <c r="H293" i="1"/>
  <c r="H292" i="1" s="1"/>
  <c r="H291" i="1" s="1"/>
  <c r="F293" i="1"/>
  <c r="F292" i="1" s="1"/>
  <c r="F291" i="1" s="1"/>
  <c r="E293" i="1"/>
  <c r="E292" i="1" s="1"/>
  <c r="E291" i="1" s="1"/>
  <c r="H289" i="1"/>
  <c r="F289" i="1"/>
  <c r="E289" i="1"/>
  <c r="H288" i="1"/>
  <c r="F288" i="1"/>
  <c r="E288" i="1"/>
  <c r="H287" i="1"/>
  <c r="F287" i="1"/>
  <c r="E287" i="1"/>
  <c r="H285" i="1"/>
  <c r="H284" i="1" s="1"/>
  <c r="F285" i="1"/>
  <c r="F284" i="1" s="1"/>
  <c r="E285" i="1"/>
  <c r="E284" i="1" s="1"/>
  <c r="H283" i="1"/>
  <c r="F283" i="1"/>
  <c r="E283" i="1"/>
  <c r="H282" i="1"/>
  <c r="H281" i="1" s="1"/>
  <c r="F282" i="1"/>
  <c r="F281" i="1" s="1"/>
  <c r="E282" i="1"/>
  <c r="E281" i="1" s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8" i="1"/>
  <c r="F268" i="1"/>
  <c r="E268" i="1"/>
  <c r="H267" i="1"/>
  <c r="H266" i="1" s="1"/>
  <c r="F267" i="1"/>
  <c r="F266" i="1" s="1"/>
  <c r="E267" i="1"/>
  <c r="E266" i="1" s="1"/>
  <c r="H265" i="1"/>
  <c r="H264" i="1" s="1"/>
  <c r="F265" i="1"/>
  <c r="F264" i="1" s="1"/>
  <c r="E265" i="1"/>
  <c r="E264" i="1" s="1"/>
  <c r="H263" i="1"/>
  <c r="F263" i="1"/>
  <c r="E263" i="1"/>
  <c r="H262" i="1"/>
  <c r="F262" i="1"/>
  <c r="E262" i="1"/>
  <c r="H258" i="1"/>
  <c r="F258" i="1"/>
  <c r="E258" i="1"/>
  <c r="H257" i="1"/>
  <c r="F257" i="1"/>
  <c r="E257" i="1"/>
  <c r="H256" i="1"/>
  <c r="F256" i="1"/>
  <c r="E256" i="1"/>
  <c r="H252" i="1"/>
  <c r="H251" i="1" s="1"/>
  <c r="H250" i="1" s="1"/>
  <c r="F252" i="1"/>
  <c r="F251" i="1" s="1"/>
  <c r="F250" i="1" s="1"/>
  <c r="E252" i="1"/>
  <c r="E251" i="1" s="1"/>
  <c r="E250" i="1" s="1"/>
  <c r="H249" i="1"/>
  <c r="F249" i="1"/>
  <c r="E249" i="1"/>
  <c r="H248" i="1"/>
  <c r="H247" i="1" s="1"/>
  <c r="F248" i="1"/>
  <c r="F247" i="1" s="1"/>
  <c r="E248" i="1"/>
  <c r="E247" i="1" s="1"/>
  <c r="H245" i="1"/>
  <c r="F245" i="1"/>
  <c r="E245" i="1"/>
  <c r="H244" i="1"/>
  <c r="F244" i="1"/>
  <c r="E244" i="1"/>
  <c r="H242" i="1"/>
  <c r="F242" i="1"/>
  <c r="E242" i="1"/>
  <c r="H241" i="1"/>
  <c r="F241" i="1"/>
  <c r="E241" i="1"/>
  <c r="H240" i="1"/>
  <c r="F240" i="1"/>
  <c r="E240" i="1"/>
  <c r="H238" i="1"/>
  <c r="F238" i="1"/>
  <c r="E238" i="1"/>
  <c r="H237" i="1"/>
  <c r="F237" i="1"/>
  <c r="E237" i="1"/>
  <c r="H236" i="1"/>
  <c r="F236" i="1"/>
  <c r="E236" i="1"/>
  <c r="H235" i="1"/>
  <c r="H234" i="1" s="1"/>
  <c r="F235" i="1"/>
  <c r="F234" i="1" s="1"/>
  <c r="E235" i="1"/>
  <c r="E234" i="1" s="1"/>
  <c r="H233" i="1"/>
  <c r="F233" i="1"/>
  <c r="E233" i="1"/>
  <c r="H232" i="1"/>
  <c r="H231" i="1" s="1"/>
  <c r="F232" i="1"/>
  <c r="F231" i="1" s="1"/>
  <c r="E232" i="1"/>
  <c r="E231" i="1" s="1"/>
  <c r="H230" i="1"/>
  <c r="H229" i="1" s="1"/>
  <c r="F230" i="1"/>
  <c r="F229" i="1" s="1"/>
  <c r="E230" i="1"/>
  <c r="E229" i="1" s="1"/>
  <c r="H228" i="1"/>
  <c r="H227" i="1" s="1"/>
  <c r="F228" i="1"/>
  <c r="F227" i="1" s="1"/>
  <c r="E228" i="1"/>
  <c r="E227" i="1" s="1"/>
  <c r="H224" i="1"/>
  <c r="H223" i="1" s="1"/>
  <c r="F224" i="1"/>
  <c r="F223" i="1" s="1"/>
  <c r="E224" i="1"/>
  <c r="E223" i="1" s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7" i="1"/>
  <c r="F217" i="1"/>
  <c r="E217" i="1"/>
  <c r="H216" i="1"/>
  <c r="F216" i="1"/>
  <c r="E216" i="1"/>
  <c r="H214" i="1"/>
  <c r="F214" i="1"/>
  <c r="E214" i="1"/>
  <c r="H213" i="1"/>
  <c r="H212" i="1" s="1"/>
  <c r="F213" i="1"/>
  <c r="F212" i="1" s="1"/>
  <c r="E213" i="1"/>
  <c r="E212" i="1" s="1"/>
  <c r="H211" i="1"/>
  <c r="F211" i="1"/>
  <c r="E211" i="1"/>
  <c r="H210" i="1"/>
  <c r="F210" i="1"/>
  <c r="E210" i="1"/>
  <c r="H209" i="1"/>
  <c r="F209" i="1"/>
  <c r="E209" i="1"/>
  <c r="H208" i="1"/>
  <c r="F208" i="1"/>
  <c r="E208" i="1"/>
  <c r="H206" i="1"/>
  <c r="F206" i="1"/>
  <c r="E206" i="1"/>
  <c r="H205" i="1"/>
  <c r="F205" i="1"/>
  <c r="E205" i="1"/>
  <c r="H204" i="1"/>
  <c r="F204" i="1"/>
  <c r="E204" i="1"/>
  <c r="H203" i="1"/>
  <c r="F203" i="1"/>
  <c r="E203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7" i="1"/>
  <c r="F197" i="1"/>
  <c r="E197" i="1"/>
  <c r="H195" i="1"/>
  <c r="F195" i="1"/>
  <c r="E195" i="1"/>
  <c r="H194" i="1"/>
  <c r="F194" i="1"/>
  <c r="E194" i="1"/>
  <c r="H190" i="1"/>
  <c r="F190" i="1"/>
  <c r="E190" i="1"/>
  <c r="H189" i="1"/>
  <c r="F189" i="1"/>
  <c r="E189" i="1"/>
  <c r="H188" i="1"/>
  <c r="F188" i="1"/>
  <c r="E188" i="1"/>
  <c r="H185" i="1"/>
  <c r="H184" i="1" s="1"/>
  <c r="F185" i="1"/>
  <c r="F184" i="1" s="1"/>
  <c r="E185" i="1"/>
  <c r="E184" i="1" s="1"/>
  <c r="H183" i="1"/>
  <c r="H182" i="1" s="1"/>
  <c r="F183" i="1"/>
  <c r="F182" i="1" s="1"/>
  <c r="E183" i="1"/>
  <c r="E182" i="1" s="1"/>
  <c r="H178" i="1"/>
  <c r="H177" i="1" s="1"/>
  <c r="H176" i="1" s="1"/>
  <c r="F178" i="1"/>
  <c r="F177" i="1" s="1"/>
  <c r="F176" i="1" s="1"/>
  <c r="E178" i="1"/>
  <c r="E177" i="1" s="1"/>
  <c r="E176" i="1" s="1"/>
  <c r="H175" i="1"/>
  <c r="H174" i="1" s="1"/>
  <c r="H173" i="1" s="1"/>
  <c r="F175" i="1"/>
  <c r="F174" i="1" s="1"/>
  <c r="F173" i="1" s="1"/>
  <c r="E175" i="1"/>
  <c r="E174" i="1" s="1"/>
  <c r="E173" i="1" s="1"/>
  <c r="H171" i="1"/>
  <c r="F171" i="1"/>
  <c r="E171" i="1"/>
  <c r="H170" i="1"/>
  <c r="F170" i="1"/>
  <c r="E170" i="1"/>
  <c r="H167" i="1"/>
  <c r="H166" i="1" s="1"/>
  <c r="F167" i="1"/>
  <c r="F166" i="1" s="1"/>
  <c r="E167" i="1"/>
  <c r="E166" i="1" s="1"/>
  <c r="H165" i="1"/>
  <c r="H164" i="1" s="1"/>
  <c r="F165" i="1"/>
  <c r="F164" i="1" s="1"/>
  <c r="E165" i="1"/>
  <c r="E164" i="1" s="1"/>
  <c r="H162" i="1"/>
  <c r="F162" i="1"/>
  <c r="E162" i="1"/>
  <c r="H161" i="1"/>
  <c r="F161" i="1"/>
  <c r="E161" i="1"/>
  <c r="H159" i="1"/>
  <c r="F159" i="1"/>
  <c r="E159" i="1"/>
  <c r="H158" i="1"/>
  <c r="F158" i="1"/>
  <c r="E158" i="1"/>
  <c r="H157" i="1"/>
  <c r="F157" i="1"/>
  <c r="E157" i="1"/>
  <c r="H153" i="1"/>
  <c r="F153" i="1"/>
  <c r="E153" i="1"/>
  <c r="H152" i="1"/>
  <c r="F152" i="1"/>
  <c r="E152" i="1"/>
  <c r="H150" i="1"/>
  <c r="H149" i="1" s="1"/>
  <c r="H148" i="1" s="1"/>
  <c r="F150" i="1"/>
  <c r="F149" i="1" s="1"/>
  <c r="F148" i="1" s="1"/>
  <c r="E150" i="1"/>
  <c r="E149" i="1" s="1"/>
  <c r="E148" i="1" s="1"/>
  <c r="H147" i="1"/>
  <c r="F147" i="1"/>
  <c r="E147" i="1"/>
  <c r="H146" i="1"/>
  <c r="F146" i="1"/>
  <c r="E146" i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41" i="1"/>
  <c r="F141" i="1"/>
  <c r="E141" i="1"/>
  <c r="H140" i="1"/>
  <c r="F140" i="1"/>
  <c r="E140" i="1"/>
  <c r="H136" i="1"/>
  <c r="F136" i="1"/>
  <c r="E136" i="1"/>
  <c r="H135" i="1"/>
  <c r="F135" i="1"/>
  <c r="E135" i="1"/>
  <c r="H132" i="1"/>
  <c r="H131" i="1" s="1"/>
  <c r="F132" i="1"/>
  <c r="F131" i="1" s="1"/>
  <c r="E132" i="1"/>
  <c r="E131" i="1" s="1"/>
  <c r="H130" i="1"/>
  <c r="F130" i="1"/>
  <c r="E130" i="1"/>
  <c r="H129" i="1"/>
  <c r="F129" i="1"/>
  <c r="E129" i="1"/>
  <c r="H128" i="1"/>
  <c r="F128" i="1"/>
  <c r="E128" i="1"/>
  <c r="H125" i="1"/>
  <c r="H124" i="1" s="1"/>
  <c r="F125" i="1"/>
  <c r="F124" i="1" s="1"/>
  <c r="E125" i="1"/>
  <c r="E124" i="1" s="1"/>
  <c r="H123" i="1"/>
  <c r="F123" i="1"/>
  <c r="E123" i="1"/>
  <c r="H122" i="1"/>
  <c r="F122" i="1"/>
  <c r="E122" i="1"/>
  <c r="H118" i="1"/>
  <c r="F118" i="1"/>
  <c r="E118" i="1"/>
  <c r="H117" i="1"/>
  <c r="F117" i="1"/>
  <c r="E117" i="1"/>
  <c r="H116" i="1"/>
  <c r="F116" i="1"/>
  <c r="E116" i="1"/>
  <c r="H113" i="1"/>
  <c r="H112" i="1" s="1"/>
  <c r="H111" i="1" s="1"/>
  <c r="F113" i="1"/>
  <c r="F112" i="1" s="1"/>
  <c r="F111" i="1" s="1"/>
  <c r="E113" i="1"/>
  <c r="E112" i="1" s="1"/>
  <c r="E111" i="1" s="1"/>
  <c r="H110" i="1"/>
  <c r="F110" i="1"/>
  <c r="E110" i="1"/>
  <c r="H109" i="1"/>
  <c r="F109" i="1"/>
  <c r="E109" i="1"/>
  <c r="H108" i="1"/>
  <c r="F108" i="1"/>
  <c r="E108" i="1"/>
  <c r="H107" i="1"/>
  <c r="F107" i="1"/>
  <c r="E107" i="1"/>
  <c r="H106" i="1"/>
  <c r="H105" i="1" s="1"/>
  <c r="F106" i="1"/>
  <c r="F105" i="1" s="1"/>
  <c r="E106" i="1"/>
  <c r="E105" i="1" s="1"/>
  <c r="H104" i="1"/>
  <c r="F104" i="1"/>
  <c r="E104" i="1"/>
  <c r="H103" i="1"/>
  <c r="F103" i="1"/>
  <c r="E103" i="1"/>
  <c r="H102" i="1"/>
  <c r="F102" i="1"/>
  <c r="E102" i="1"/>
  <c r="H101" i="1"/>
  <c r="F101" i="1"/>
  <c r="E101" i="1"/>
  <c r="H100" i="1"/>
  <c r="F100" i="1"/>
  <c r="E100" i="1"/>
  <c r="H98" i="1"/>
  <c r="F98" i="1"/>
  <c r="E98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2" i="1"/>
  <c r="F72" i="1"/>
  <c r="E72" i="1"/>
  <c r="H71" i="1"/>
  <c r="F71" i="1"/>
  <c r="E71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0" i="1"/>
  <c r="F60" i="1"/>
  <c r="E60" i="1"/>
  <c r="H59" i="1"/>
  <c r="F59" i="1"/>
  <c r="E59" i="1"/>
  <c r="H58" i="1"/>
  <c r="F58" i="1"/>
  <c r="E58" i="1"/>
  <c r="H54" i="1"/>
  <c r="H53" i="1" s="1"/>
  <c r="H52" i="1" s="1"/>
  <c r="F54" i="1"/>
  <c r="F53" i="1" s="1"/>
  <c r="F52" i="1" s="1"/>
  <c r="E54" i="1"/>
  <c r="E53" i="1" s="1"/>
  <c r="E52" i="1" s="1"/>
  <c r="H51" i="1"/>
  <c r="H50" i="1" s="1"/>
  <c r="H49" i="1" s="1"/>
  <c r="F51" i="1"/>
  <c r="F50" i="1" s="1"/>
  <c r="F49" i="1" s="1"/>
  <c r="E51" i="1"/>
  <c r="E50" i="1" s="1"/>
  <c r="E49" i="1" s="1"/>
  <c r="H48" i="1"/>
  <c r="H47" i="1" s="1"/>
  <c r="F48" i="1"/>
  <c r="F47" i="1" s="1"/>
  <c r="E48" i="1"/>
  <c r="E47" i="1" s="1"/>
  <c r="H46" i="1"/>
  <c r="H45" i="1" s="1"/>
  <c r="F46" i="1"/>
  <c r="F45" i="1" s="1"/>
  <c r="E46" i="1"/>
  <c r="E45" i="1" s="1"/>
  <c r="H43" i="1"/>
  <c r="F43" i="1"/>
  <c r="E43" i="1"/>
  <c r="H42" i="1"/>
  <c r="F42" i="1"/>
  <c r="E42" i="1"/>
  <c r="H41" i="1"/>
  <c r="F41" i="1"/>
  <c r="E41" i="1"/>
  <c r="H37" i="1"/>
  <c r="H36" i="1" s="1"/>
  <c r="H35" i="1" s="1"/>
  <c r="F37" i="1"/>
  <c r="F36" i="1" s="1"/>
  <c r="F35" i="1" s="1"/>
  <c r="E37" i="1"/>
  <c r="E36" i="1" s="1"/>
  <c r="E35" i="1" s="1"/>
  <c r="H34" i="1"/>
  <c r="F34" i="1"/>
  <c r="E34" i="1"/>
  <c r="H33" i="1"/>
  <c r="F33" i="1"/>
  <c r="E33" i="1"/>
  <c r="H32" i="1"/>
  <c r="F32" i="1"/>
  <c r="E32" i="1"/>
  <c r="H29" i="1"/>
  <c r="F29" i="1"/>
  <c r="E29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19" i="1"/>
  <c r="F19" i="1"/>
  <c r="E19" i="1"/>
  <c r="H18" i="1"/>
  <c r="F18" i="1"/>
  <c r="E18" i="1"/>
  <c r="H17" i="1"/>
  <c r="F17" i="1"/>
  <c r="E17" i="1"/>
  <c r="H16" i="1"/>
  <c r="F16" i="1"/>
  <c r="E16" i="1"/>
  <c r="H11" i="1"/>
  <c r="F11" i="1"/>
  <c r="E11" i="1"/>
  <c r="H10" i="1"/>
  <c r="F10" i="1"/>
  <c r="E10" i="1"/>
  <c r="H7" i="1"/>
  <c r="H6" i="1" s="1"/>
  <c r="H5" i="1" s="1"/>
  <c r="F7" i="1"/>
  <c r="F6" i="1" s="1"/>
  <c r="F5" i="1" s="1"/>
  <c r="E7" i="1"/>
  <c r="E6" i="1" s="1"/>
  <c r="E5" i="1" s="1"/>
  <c r="E641" i="1" l="1"/>
  <c r="E633" i="1"/>
  <c r="E638" i="1"/>
  <c r="F532" i="1"/>
  <c r="E587" i="1"/>
  <c r="E585" i="1" s="1"/>
  <c r="F594" i="1"/>
  <c r="E622" i="1"/>
  <c r="E528" i="1"/>
  <c r="E478" i="1"/>
  <c r="E477" i="1" s="1"/>
  <c r="E476" i="1" s="1"/>
  <c r="H484" i="1"/>
  <c r="F493" i="1"/>
  <c r="E511" i="1"/>
  <c r="H622" i="1"/>
  <c r="H621" i="1" s="1"/>
  <c r="E594" i="1"/>
  <c r="H610" i="1"/>
  <c r="H606" i="1" s="1"/>
  <c r="H605" i="1" s="1"/>
  <c r="F610" i="1"/>
  <c r="F606" i="1" s="1"/>
  <c r="F605" i="1" s="1"/>
  <c r="F622" i="1"/>
  <c r="F621" i="1" s="1"/>
  <c r="F440" i="1"/>
  <c r="H505" i="1"/>
  <c r="E532" i="1"/>
  <c r="E538" i="1" s="1"/>
  <c r="H587" i="1"/>
  <c r="H594" i="1"/>
  <c r="F555" i="1"/>
  <c r="H555" i="1"/>
  <c r="H540" i="1" s="1"/>
  <c r="H539" i="1" s="1"/>
  <c r="H532" i="1"/>
  <c r="F633" i="1"/>
  <c r="F641" i="1" s="1"/>
  <c r="H633" i="1"/>
  <c r="H641" i="1" s="1"/>
  <c r="F528" i="1"/>
  <c r="F538" i="1" s="1"/>
  <c r="H528" i="1"/>
  <c r="H538" i="1" s="1"/>
  <c r="H585" i="1"/>
  <c r="F484" i="1"/>
  <c r="F483" i="1" s="1"/>
  <c r="E493" i="1"/>
  <c r="H497" i="1"/>
  <c r="E610" i="1"/>
  <c r="E606" i="1" s="1"/>
  <c r="E605" i="1" s="1"/>
  <c r="E621" i="1"/>
  <c r="E487" i="1"/>
  <c r="E483" i="1" s="1"/>
  <c r="F505" i="1"/>
  <c r="E519" i="1"/>
  <c r="E555" i="1"/>
  <c r="E540" i="1" s="1"/>
  <c r="F587" i="1"/>
  <c r="F585" i="1" s="1"/>
  <c r="F540" i="1"/>
  <c r="F487" i="1"/>
  <c r="H519" i="1"/>
  <c r="H487" i="1"/>
  <c r="H493" i="1"/>
  <c r="F511" i="1"/>
  <c r="H511" i="1"/>
  <c r="F519" i="1"/>
  <c r="E440" i="1"/>
  <c r="E497" i="1"/>
  <c r="F497" i="1"/>
  <c r="E505" i="1"/>
  <c r="E327" i="1"/>
  <c r="E399" i="1"/>
  <c r="E396" i="1" s="1"/>
  <c r="H423" i="1"/>
  <c r="E460" i="1"/>
  <c r="H471" i="1"/>
  <c r="F478" i="1"/>
  <c r="F477" i="1" s="1"/>
  <c r="F476" i="1" s="1"/>
  <c r="H412" i="1"/>
  <c r="H411" i="1" s="1"/>
  <c r="E432" i="1"/>
  <c r="E431" i="1" s="1"/>
  <c r="F151" i="1"/>
  <c r="H181" i="1"/>
  <c r="E324" i="1"/>
  <c r="E378" i="1"/>
  <c r="F378" i="1"/>
  <c r="H378" i="1"/>
  <c r="E385" i="1"/>
  <c r="E384" i="1" s="1"/>
  <c r="H420" i="1"/>
  <c r="F423" i="1"/>
  <c r="F460" i="1"/>
  <c r="H478" i="1"/>
  <c r="H477" i="1" s="1"/>
  <c r="H476" i="1" s="1"/>
  <c r="E404" i="1"/>
  <c r="E403" i="1" s="1"/>
  <c r="H404" i="1"/>
  <c r="H403" i="1" s="1"/>
  <c r="E412" i="1"/>
  <c r="E449" i="1"/>
  <c r="E448" i="1" s="1"/>
  <c r="F449" i="1"/>
  <c r="F448" i="1" s="1"/>
  <c r="H449" i="1"/>
  <c r="H448" i="1" s="1"/>
  <c r="H460" i="1"/>
  <c r="E471" i="1"/>
  <c r="E457" i="1" s="1"/>
  <c r="E454" i="1" s="1"/>
  <c r="H399" i="1"/>
  <c r="H396" i="1" s="1"/>
  <c r="E420" i="1"/>
  <c r="F471" i="1"/>
  <c r="F399" i="1"/>
  <c r="F412" i="1"/>
  <c r="E423" i="1"/>
  <c r="F432" i="1"/>
  <c r="F431" i="1" s="1"/>
  <c r="H440" i="1"/>
  <c r="F420" i="1"/>
  <c r="H432" i="1"/>
  <c r="H431" i="1" s="1"/>
  <c r="F396" i="1"/>
  <c r="F371" i="1"/>
  <c r="F370" i="1" s="1"/>
  <c r="F385" i="1"/>
  <c r="F384" i="1" s="1"/>
  <c r="H385" i="1"/>
  <c r="H384" i="1" s="1"/>
  <c r="H371" i="1"/>
  <c r="H370" i="1" s="1"/>
  <c r="F404" i="1"/>
  <c r="F403" i="1" s="1"/>
  <c r="F327" i="1"/>
  <c r="H327" i="1"/>
  <c r="E332" i="1"/>
  <c r="E331" i="1" s="1"/>
  <c r="E181" i="1"/>
  <c r="E243" i="1"/>
  <c r="F324" i="1"/>
  <c r="E344" i="1"/>
  <c r="E341" i="1" s="1"/>
  <c r="E340" i="1" s="1"/>
  <c r="E338" i="1" s="1"/>
  <c r="E365" i="1"/>
  <c r="F365" i="1"/>
  <c r="H324" i="1"/>
  <c r="F344" i="1"/>
  <c r="F341" i="1" s="1"/>
  <c r="F340" i="1" s="1"/>
  <c r="F338" i="1" s="1"/>
  <c r="H344" i="1"/>
  <c r="H341" i="1" s="1"/>
  <c r="H340" i="1" s="1"/>
  <c r="H338" i="1" s="1"/>
  <c r="E371" i="1"/>
  <c r="E370" i="1" s="1"/>
  <c r="F215" i="1"/>
  <c r="F261" i="1"/>
  <c r="H300" i="1"/>
  <c r="H299" i="1" s="1"/>
  <c r="H365" i="1"/>
  <c r="E300" i="1"/>
  <c r="E299" i="1" s="1"/>
  <c r="F9" i="1"/>
  <c r="F8" i="1" s="1"/>
  <c r="F12" i="1" s="1"/>
  <c r="F179" i="1"/>
  <c r="F332" i="1"/>
  <c r="F331" i="1" s="1"/>
  <c r="E218" i="1"/>
  <c r="E239" i="1"/>
  <c r="H294" i="1"/>
  <c r="H290" i="1" s="1"/>
  <c r="E306" i="1"/>
  <c r="H332" i="1"/>
  <c r="H331" i="1" s="1"/>
  <c r="F300" i="1"/>
  <c r="F299" i="1" s="1"/>
  <c r="E314" i="1"/>
  <c r="E313" i="1" s="1"/>
  <c r="E312" i="1" s="1"/>
  <c r="E85" i="1"/>
  <c r="H99" i="1"/>
  <c r="H97" i="1" s="1"/>
  <c r="E99" i="1"/>
  <c r="E97" i="1" s="1"/>
  <c r="F115" i="1"/>
  <c r="F114" i="1" s="1"/>
  <c r="E121" i="1"/>
  <c r="E294" i="1"/>
  <c r="E290" i="1" s="1"/>
  <c r="F306" i="1"/>
  <c r="F314" i="1"/>
  <c r="F313" i="1" s="1"/>
  <c r="F312" i="1" s="1"/>
  <c r="H314" i="1"/>
  <c r="H313" i="1" s="1"/>
  <c r="H312" i="1" s="1"/>
  <c r="H306" i="1"/>
  <c r="F243" i="1"/>
  <c r="E255" i="1"/>
  <c r="E254" i="1" s="1"/>
  <c r="E253" i="1" s="1"/>
  <c r="H243" i="1"/>
  <c r="E160" i="1"/>
  <c r="E169" i="1"/>
  <c r="E168" i="1" s="1"/>
  <c r="E187" i="1"/>
  <c r="E186" i="1" s="1"/>
  <c r="E180" i="1" s="1"/>
  <c r="E191" i="1" s="1"/>
  <c r="H196" i="1"/>
  <c r="H193" i="1" s="1"/>
  <c r="E215" i="1"/>
  <c r="F246" i="1"/>
  <c r="E286" i="1"/>
  <c r="F294" i="1"/>
  <c r="F290" i="1" s="1"/>
  <c r="F255" i="1"/>
  <c r="F254" i="1" s="1"/>
  <c r="F253" i="1" s="1"/>
  <c r="F44" i="1"/>
  <c r="F160" i="1"/>
  <c r="H169" i="1"/>
  <c r="H168" i="1" s="1"/>
  <c r="E134" i="1"/>
  <c r="E133" i="1" s="1"/>
  <c r="H151" i="1"/>
  <c r="H160" i="1"/>
  <c r="E179" i="1"/>
  <c r="F181" i="1"/>
  <c r="H239" i="1"/>
  <c r="E269" i="1"/>
  <c r="F269" i="1"/>
  <c r="H286" i="1"/>
  <c r="F74" i="1"/>
  <c r="E31" i="1"/>
  <c r="E30" i="1" s="1"/>
  <c r="H127" i="1"/>
  <c r="H126" i="1" s="1"/>
  <c r="F156" i="1"/>
  <c r="F169" i="1"/>
  <c r="F168" i="1" s="1"/>
  <c r="F202" i="1"/>
  <c r="E202" i="1"/>
  <c r="F207" i="1"/>
  <c r="H163" i="1"/>
  <c r="H179" i="1"/>
  <c r="H15" i="1"/>
  <c r="H14" i="1" s="1"/>
  <c r="H13" i="1" s="1"/>
  <c r="E44" i="1"/>
  <c r="H57" i="1"/>
  <c r="H74" i="1"/>
  <c r="E115" i="1"/>
  <c r="E114" i="1" s="1"/>
  <c r="H134" i="1"/>
  <c r="H133" i="1" s="1"/>
  <c r="E151" i="1"/>
  <c r="H156" i="1"/>
  <c r="H155" i="1" s="1"/>
  <c r="E156" i="1"/>
  <c r="F187" i="1"/>
  <c r="F186" i="1" s="1"/>
  <c r="H202" i="1"/>
  <c r="F218" i="1"/>
  <c r="E246" i="1"/>
  <c r="H255" i="1"/>
  <c r="H254" i="1" s="1"/>
  <c r="H253" i="1" s="1"/>
  <c r="E261" i="1"/>
  <c r="F286" i="1"/>
  <c r="H61" i="1"/>
  <c r="F70" i="1"/>
  <c r="H187" i="1"/>
  <c r="H186" i="1" s="1"/>
  <c r="H207" i="1"/>
  <c r="H218" i="1"/>
  <c r="F239" i="1"/>
  <c r="H246" i="1"/>
  <c r="H269" i="1"/>
  <c r="E163" i="1"/>
  <c r="H9" i="1"/>
  <c r="H8" i="1" s="1"/>
  <c r="H12" i="1" s="1"/>
  <c r="F134" i="1"/>
  <c r="F133" i="1" s="1"/>
  <c r="F163" i="1"/>
  <c r="E196" i="1"/>
  <c r="E193" i="1" s="1"/>
  <c r="F196" i="1"/>
  <c r="F193" i="1" s="1"/>
  <c r="E207" i="1"/>
  <c r="H215" i="1"/>
  <c r="H261" i="1"/>
  <c r="H139" i="1"/>
  <c r="H138" i="1" s="1"/>
  <c r="H137" i="1" s="1"/>
  <c r="E40" i="1"/>
  <c r="E39" i="1" s="1"/>
  <c r="E38" i="1" s="1"/>
  <c r="E57" i="1"/>
  <c r="H70" i="1"/>
  <c r="F121" i="1"/>
  <c r="H121" i="1"/>
  <c r="E22" i="1"/>
  <c r="E21" i="1" s="1"/>
  <c r="E20" i="1" s="1"/>
  <c r="H31" i="1"/>
  <c r="H30" i="1" s="1"/>
  <c r="F57" i="1"/>
  <c r="E61" i="1"/>
  <c r="E74" i="1"/>
  <c r="F85" i="1"/>
  <c r="H85" i="1"/>
  <c r="E139" i="1"/>
  <c r="E138" i="1" s="1"/>
  <c r="E137" i="1" s="1"/>
  <c r="F139" i="1"/>
  <c r="F138" i="1" s="1"/>
  <c r="F137" i="1" s="1"/>
  <c r="E9" i="1"/>
  <c r="E8" i="1" s="1"/>
  <c r="E12" i="1" s="1"/>
  <c r="F22" i="1"/>
  <c r="F21" i="1" s="1"/>
  <c r="F20" i="1" s="1"/>
  <c r="F61" i="1"/>
  <c r="E70" i="1"/>
  <c r="F99" i="1"/>
  <c r="F97" i="1" s="1"/>
  <c r="H115" i="1"/>
  <c r="H114" i="1" s="1"/>
  <c r="E127" i="1"/>
  <c r="E126" i="1" s="1"/>
  <c r="F127" i="1"/>
  <c r="F126" i="1" s="1"/>
  <c r="H22" i="1"/>
  <c r="H21" i="1" s="1"/>
  <c r="H20" i="1" s="1"/>
  <c r="F40" i="1"/>
  <c r="F39" i="1" s="1"/>
  <c r="F38" i="1" s="1"/>
  <c r="H44" i="1"/>
  <c r="E15" i="1"/>
  <c r="E14" i="1" s="1"/>
  <c r="E13" i="1" s="1"/>
  <c r="F15" i="1"/>
  <c r="F14" i="1" s="1"/>
  <c r="F13" i="1" s="1"/>
  <c r="F31" i="1"/>
  <c r="F30" i="1" s="1"/>
  <c r="H40" i="1"/>
  <c r="H39" i="1" s="1"/>
  <c r="H38" i="1" s="1"/>
  <c r="H496" i="1" l="1"/>
  <c r="E539" i="1"/>
  <c r="E627" i="1" s="1"/>
  <c r="F226" i="1"/>
  <c r="F225" i="1" s="1"/>
  <c r="F496" i="1"/>
  <c r="F527" i="1" s="1"/>
  <c r="H627" i="1"/>
  <c r="H120" i="1"/>
  <c r="F457" i="1"/>
  <c r="F454" i="1" s="1"/>
  <c r="F482" i="1" s="1"/>
  <c r="E496" i="1"/>
  <c r="E527" i="1" s="1"/>
  <c r="H457" i="1"/>
  <c r="H454" i="1" s="1"/>
  <c r="H482" i="1" s="1"/>
  <c r="H483" i="1"/>
  <c r="H527" i="1" s="1"/>
  <c r="F539" i="1"/>
  <c r="F627" i="1" s="1"/>
  <c r="H180" i="1"/>
  <c r="H191" i="1" s="1"/>
  <c r="E411" i="1"/>
  <c r="E447" i="1" s="1"/>
  <c r="F73" i="1"/>
  <c r="E337" i="1"/>
  <c r="H260" i="1"/>
  <c r="H259" i="1" s="1"/>
  <c r="E482" i="1"/>
  <c r="H447" i="1"/>
  <c r="E410" i="1"/>
  <c r="F260" i="1"/>
  <c r="F259" i="1" s="1"/>
  <c r="H226" i="1"/>
  <c r="H225" i="1" s="1"/>
  <c r="F411" i="1"/>
  <c r="F447" i="1" s="1"/>
  <c r="H410" i="1"/>
  <c r="F383" i="1"/>
  <c r="E383" i="1"/>
  <c r="F410" i="1"/>
  <c r="E321" i="1"/>
  <c r="H337" i="1"/>
  <c r="F155" i="1"/>
  <c r="F172" i="1" s="1"/>
  <c r="E226" i="1"/>
  <c r="E225" i="1" s="1"/>
  <c r="E155" i="1"/>
  <c r="E172" i="1" s="1"/>
  <c r="H383" i="1"/>
  <c r="F321" i="1"/>
  <c r="F337" i="1"/>
  <c r="E120" i="1"/>
  <c r="E154" i="1" s="1"/>
  <c r="E73" i="1"/>
  <c r="H172" i="1"/>
  <c r="H321" i="1"/>
  <c r="E192" i="1"/>
  <c r="E260" i="1"/>
  <c r="E259" i="1" s="1"/>
  <c r="H73" i="1"/>
  <c r="H56" i="1"/>
  <c r="H154" i="1"/>
  <c r="F192" i="1"/>
  <c r="F55" i="1"/>
  <c r="F180" i="1"/>
  <c r="F191" i="1" s="1"/>
  <c r="H55" i="1"/>
  <c r="E55" i="1"/>
  <c r="F120" i="1"/>
  <c r="F154" i="1" s="1"/>
  <c r="H192" i="1"/>
  <c r="E56" i="1"/>
  <c r="F56" i="1"/>
  <c r="F119" i="1" l="1"/>
  <c r="F305" i="1"/>
  <c r="H305" i="1"/>
  <c r="H119" i="1"/>
  <c r="E119" i="1"/>
  <c r="E305" i="1"/>
</calcChain>
</file>

<file path=xl/sharedStrings.xml><?xml version="1.0" encoding="utf-8"?>
<sst xmlns="http://schemas.openxmlformats.org/spreadsheetml/2006/main" count="1920" uniqueCount="921">
  <si>
    <t>№ п/п</t>
  </si>
  <si>
    <t>Наименование муниципальной программы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</si>
  <si>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</si>
  <si>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</si>
  <si>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</si>
  <si>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</si>
  <si>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</si>
  <si>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</si>
  <si>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</si>
  <si>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</si>
  <si>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</si>
  <si>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</si>
  <si>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</si>
  <si>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</si>
  <si>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</si>
  <si>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</si>
  <si>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</si>
  <si>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</si>
  <si>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</si>
  <si>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</si>
  <si>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</si>
  <si>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</si>
  <si>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</si>
  <si>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</si>
  <si>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</si>
  <si>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</si>
  <si>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</si>
  <si>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</si>
  <si>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</si>
  <si>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</si>
  <si>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</si>
  <si>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</si>
  <si>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</si>
  <si>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</si>
  <si>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</si>
  <si>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</si>
  <si>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</si>
  <si>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</si>
  <si>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</si>
  <si>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</si>
  <si>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</si>
  <si>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</si>
  <si>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</si>
  <si>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</si>
  <si>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</si>
  <si>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</si>
  <si>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</si>
  <si>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</si>
  <si>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</si>
  <si>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</si>
  <si>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</si>
  <si>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</si>
  <si>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</si>
  <si>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</si>
  <si>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</si>
  <si>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</si>
  <si>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</si>
  <si>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</si>
  <si>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</si>
  <si>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</si>
  <si>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</si>
  <si>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</si>
  <si>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</si>
  <si>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</si>
  <si>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</si>
  <si>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</si>
  <si>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</si>
  <si>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</si>
  <si>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</si>
  <si>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</si>
  <si>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</si>
  <si>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</si>
  <si>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</si>
  <si>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</si>
  <si>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</si>
  <si>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</si>
  <si>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</si>
  <si>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</si>
  <si>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</si>
  <si>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</si>
  <si>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</si>
  <si>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</si>
  <si>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</si>
  <si>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</si>
  <si>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</si>
  <si>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</si>
  <si>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</si>
  <si>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</si>
  <si>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</si>
  <si>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</si>
  <si>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</si>
  <si>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</si>
  <si>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</si>
  <si>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</si>
  <si>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</si>
  <si>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</si>
  <si>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</si>
  <si>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</si>
  <si>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</si>
  <si>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</si>
  <si>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</si>
  <si>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</si>
  <si>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</si>
  <si>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</si>
  <si>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</si>
  <si>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</si>
  <si>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</si>
  <si>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</si>
  <si>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</si>
  <si>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</si>
  <si>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</si>
  <si>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</si>
  <si>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</si>
  <si>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</si>
  <si>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</si>
  <si>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</si>
  <si>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</si>
  <si>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</si>
  <si>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</si>
  <si>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</si>
  <si>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</si>
  <si>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</si>
  <si>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</si>
  <si>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</si>
  <si>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</si>
  <si>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</si>
  <si>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</si>
  <si>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</si>
  <si>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</si>
  <si>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</si>
  <si>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</si>
  <si>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</si>
  <si>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</si>
  <si>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</si>
  <si>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</si>
  <si>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</si>
  <si>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</si>
  <si>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</si>
  <si>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</si>
  <si>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</si>
  <si>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</si>
  <si>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</si>
  <si>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</si>
  <si>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</si>
  <si>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</si>
  <si>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</si>
  <si>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</si>
  <si>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</si>
  <si>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</si>
  <si>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</si>
  <si>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</si>
  <si>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</si>
  <si>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</si>
  <si>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</si>
  <si>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</si>
  <si>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</si>
  <si>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</si>
  <si>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</si>
  <si>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</si>
  <si>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</si>
  <si>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</si>
  <si>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</si>
  <si>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</si>
  <si>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</si>
  <si>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</si>
  <si>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</si>
  <si>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</si>
  <si>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</si>
  <si>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</si>
  <si>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</si>
  <si>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</si>
  <si>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</si>
  <si>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</si>
  <si>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</si>
  <si>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</si>
  <si>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</si>
  <si>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</si>
  <si>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</si>
  <si>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</si>
  <si>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</si>
  <si>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</si>
  <si>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</si>
  <si>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</si>
  <si>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</si>
  <si>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</si>
  <si>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</si>
  <si>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</si>
  <si>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</si>
  <si>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</si>
  <si>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</si>
  <si>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</si>
  <si>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</si>
  <si>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</si>
  <si>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</si>
  <si>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</si>
  <si>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</si>
  <si>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</si>
  <si>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</si>
  <si>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</si>
  <si>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</si>
  <si>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</si>
  <si>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</si>
  <si>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</si>
  <si>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</si>
  <si>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</si>
  <si>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Основное мероприятие 10.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</si>
  <si>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</si>
  <si>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</si>
  <si>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Развитие конкурентной среды в рамках Федерального закона № 44-ФЗ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</si>
  <si>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</si>
  <si>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Реализация комплекса мер по содействию развитию конкуренции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</si>
  <si>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</si>
  <si>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</si>
  <si>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</si>
  <si>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</si>
  <si>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</si>
  <si>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</si>
  <si>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</si>
  <si>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</si>
  <si>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</si>
  <si>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</si>
  <si>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</si>
  <si>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</si>
  <si>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</si>
  <si>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</si>
  <si>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</si>
  <si>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</si>
  <si>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</si>
  <si>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</si>
  <si>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</si>
  <si>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</si>
  <si>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</si>
  <si>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</si>
  <si>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</si>
  <si>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</si>
  <si>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</si>
  <si>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</si>
  <si>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</si>
  <si>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</si>
  <si>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</si>
  <si>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</si>
  <si>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</si>
  <si>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</si>
  <si>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</si>
  <si>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</si>
  <si>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</si>
  <si>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</si>
  <si>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</si>
  <si>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</si>
  <si>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</si>
  <si>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</si>
  <si>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</si>
  <si>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</si>
  <si>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</si>
  <si>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</si>
  <si>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</si>
  <si>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</si>
  <si>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</si>
  <si>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</si>
  <si>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</si>
  <si>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</si>
  <si>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</si>
  <si>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</si>
  <si>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</si>
  <si>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</si>
  <si>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</si>
  <si>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</si>
  <si>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</si>
  <si>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</si>
  <si>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</si>
  <si>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</si>
  <si>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</si>
  <si>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</si>
  <si>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</si>
  <si>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</si>
  <si>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</si>
  <si>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</si>
  <si>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</si>
  <si>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</si>
  <si>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</si>
  <si>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</si>
  <si>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</si>
  <si>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</si>
  <si>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</si>
  <si>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</si>
  <si>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</si>
  <si>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</si>
  <si>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</si>
  <si>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</si>
  <si>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</si>
  <si>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</si>
  <si>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</si>
  <si>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</si>
  <si>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</si>
  <si>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</si>
  <si>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</si>
  <si>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</si>
  <si>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</si>
  <si>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</si>
  <si>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</si>
  <si>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</si>
  <si>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</si>
  <si>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</si>
  <si>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</si>
  <si>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</si>
  <si>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</si>
  <si>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</si>
  <si>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</si>
  <si>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Основное мероприятие E4.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</si>
  <si>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</si>
  <si>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</si>
  <si>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</si>
  <si>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</si>
  <si>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</si>
  <si>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</si>
  <si>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</si>
  <si>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</si>
  <si>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</si>
  <si>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</si>
  <si>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</si>
  <si>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</si>
  <si>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</si>
  <si>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</si>
  <si>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</si>
  <si>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</si>
  <si>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</si>
  <si>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</si>
  <si>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</si>
  <si>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</si>
  <si>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</si>
  <si>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</si>
  <si>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проекта по благоустройству общественных территорий мкр. 6А между МКАД и улицы Реутовских ополченцев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</si>
  <si>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</si>
  <si>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</si>
  <si>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</si>
  <si>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>Разработка проектной документации по реконструкции ул. Ашхабадская и ул. Железнодорожная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</si>
  <si>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</si>
  <si>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</si>
  <si>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</si>
  <si>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</si>
  <si>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</si>
  <si>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</si>
  <si>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</si>
  <si>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</si>
  <si>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</si>
  <si>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</si>
  <si>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</si>
  <si>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</si>
  <si>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Обустройство и установка детских игровых площадок на территории муниципальных образований Московской области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</si>
  <si>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</si>
  <si>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</si>
  <si>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</si>
  <si>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</si>
  <si>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</si>
  <si>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</si>
  <si>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</si>
  <si>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</si>
  <si>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</si>
  <si>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</si>
  <si>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</si>
  <si>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</si>
  <si>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</si>
  <si>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</si>
  <si>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</si>
  <si>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</si>
  <si>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</si>
  <si>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</si>
  <si>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</si>
  <si>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</si>
  <si>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</si>
  <si>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</si>
  <si>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Спорт - норма жизни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</si>
  <si>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</si>
  <si>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</si>
  <si>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</si>
  <si>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</si>
  <si>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</si>
  <si>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</si>
  <si>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</si>
  <si>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</si>
  <si>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Основное мероприятие D2.</t>
  </si>
  <si>
    <t>Благоустройство площади Администрации, расположенной по адресу: МО, г.о. Реутов ул. Ленина, 27</t>
  </si>
  <si>
    <t>Благоустройство "Центрального парка", улицы Южной и Юбилейного пр-та</t>
  </si>
  <si>
    <t>Выполнение работ по ремонту дворовых территорий многоквартирных домов, проездов к дворовым территориям многоквартирных домов населенных пунктов</t>
  </si>
  <si>
    <t>Выполнение работ по ямочному ремонту асфальтового покрытия дворовых территорий и внутриквартальных проездов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</si>
  <si>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</si>
  <si>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</si>
  <si>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</si>
  <si>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</si>
  <si>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Обеспечение функций муниципальных учреждений дополнительного образования сферы культуры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</si>
  <si>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</si>
  <si>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</si>
  <si>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</si>
  <si>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Создание условий для массового отдыха жителей городского округа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</si>
  <si>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</si>
  <si>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</si>
  <si>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</si>
  <si>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</si>
  <si>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</si>
  <si>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</si>
  <si>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</si>
  <si>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</si>
  <si>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</si>
  <si>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</si>
  <si>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</si>
  <si>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</si>
  <si>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</si>
  <si>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</si>
  <si>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</si>
  <si>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</si>
  <si>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</si>
  <si>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</si>
  <si>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>Техническое обслуживание средств связи, фото и видеоаппаратуры, систем видеонаблюдения.</t>
  </si>
  <si>
    <t>Организация обучения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</si>
  <si>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</si>
  <si>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Издание листовок и брошюр по тематике обеспечения безопасности людей на водных объектах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</si>
  <si>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</si>
  <si>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</si>
  <si>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</si>
  <si>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</si>
  <si>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</si>
  <si>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</si>
  <si>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</si>
  <si>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Изготовление агитационной продукции (уголков пожарной безопасности, стендов, брошюр, памяток, листовок и т.д.)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</si>
  <si>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</si>
  <si>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</si>
  <si>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</si>
  <si>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</si>
  <si>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</si>
  <si>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</si>
  <si>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</si>
  <si>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</si>
  <si>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</si>
  <si>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</si>
  <si>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</si>
  <si>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</si>
  <si>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</si>
  <si>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</si>
  <si>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</si>
  <si>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</si>
  <si>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</si>
  <si>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</si>
  <si>
    <t>Заработная плата с начислениями и суточные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</si>
  <si>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</si>
  <si>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Обустройство искусственной дорожной неровностей </t>
  </si>
  <si>
    <t xml:space="preserve">Установка пешеходных ограждений 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</si>
  <si>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</si>
  <si>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</si>
  <si>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</si>
  <si>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</si>
  <si>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Завершение строительства объектов здравоохранения</t>
  </si>
  <si>
    <t>Основное мероприятие A1.</t>
  </si>
  <si>
    <t>Основное мероприятие P5.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</si>
  <si>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</si>
  <si>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</si>
  <si>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</si>
  <si>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Установка устройств по приему вторсырья от жителей (фандоматов)</t>
  </si>
  <si>
    <t>Благоустройство "Центрального парка", улицы Южной и Юбилейного пр-та, городского округа Реутов, Московской области (юбиляр)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</si>
  <si>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</si>
  <si>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>Расходы на обеспечение деятельности (оказание услуг) МБУ «Городское хозяйство и благоустройство города Реутов»</t>
  </si>
  <si>
    <t>Субсидия на иные цели (Охрана парковых территорий)</t>
  </si>
  <si>
    <t>Основное мероприятие E8.</t>
  </si>
  <si>
    <t xml:space="preserve">Проведение профилактических медицинских осмотров и диспансеризации населения, работающего на предприятиях </t>
  </si>
  <si>
    <t>Развитие музейного дела в Московской области</t>
  </si>
  <si>
    <t>Развитие библиотечного дела в Московской области</t>
  </si>
  <si>
    <t>Комплектование книжных фондов муниципальных общедоступных библиотек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</si>
  <si>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</si>
  <si>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</si>
  <si>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</si>
  <si>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</si>
  <si>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(оказание услуг) муниципальных учреждений дополнительного образования сферы культуры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</si>
  <si>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</si>
  <si>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</si>
  <si>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</si>
  <si>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</si>
  <si>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</si>
  <si>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</si>
  <si>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</si>
  <si>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</si>
  <si>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</si>
  <si>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Проектно-изыскательские работы, подготовка фундаментного основания, подведение и подключение инженерных сетей, благоустройство прилегающей территории</t>
  </si>
  <si>
    <t>Закупка пожарных автомобилей, специальной техники и противопожарного оборудования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</si>
  <si>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</si>
  <si>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</si>
  <si>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</si>
  <si>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</si>
  <si>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Оснащение специализированным оборудованием и мебелью в целях создания детского технопарка «Изобретариум 3.0» муниципального бюджетного учреждения дополнительного образования «Дом детского творчества» по адресу: Московская область, город Реутов, ул. Ленина, дом 20а</t>
  </si>
  <si>
    <t>Проведение конкурсного отбора лучших концепций по развитию территорий и дальнейшая реализация концепций победителей конкурса</t>
  </si>
  <si>
    <t xml:space="preserve">Финансирование не предусмотрено	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</si>
  <si>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</si>
  <si>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</si>
  <si>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Установка пешеходной, автомобильной навигация с фирменным знаком «Мои документы»</t>
  </si>
  <si>
    <t>Ямочный ремонт асфальтового покрытия дворовых территорий</t>
  </si>
  <si>
    <t>Благоустройство и восстановительные работы на детских игровых площадках на территории городского округа Реутов</t>
  </si>
  <si>
    <t>Участие в ежегодном областном мероприятии «Цветы Подмосковья»</t>
  </si>
  <si>
    <t>Озеленение территории городского округа Реутов в рамках акций «Лес Победы» и «Посади свое дерево»</t>
  </si>
  <si>
    <t>Строительство новых и ремонт существующих систем наружного освещения. Модернизация систем уличного освещения</t>
  </si>
  <si>
    <t>Создание условий для обеспечения комфортного проживания жителей в многоквартирных домах Московской области</t>
  </si>
  <si>
    <t>Реализация политики пространственного развития городского округа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</si>
  <si>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</si>
  <si>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</si>
  <si>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Основное мероприятие 8.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</si>
  <si>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</si>
  <si>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</si>
  <si>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</si>
  <si>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</si>
  <si>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</si>
  <si>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Формирование эффективной системы выявления, поддержки и развития способностей и талантов у детей и молодежи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</si>
  <si>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</si>
  <si>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Проведение Всероссийской переписи населения 2020 года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</si>
  <si>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</si>
  <si>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</si>
  <si>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</si>
  <si>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</si>
  <si>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</si>
  <si>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</si>
  <si>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</si>
  <si>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</si>
  <si>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</si>
  <si>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>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</t>
  </si>
  <si>
    <t>Предоставление доступа к электронным сервиса цифровой инфраструктуры в сфере жилищно-коммунального хозяйства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</si>
  <si>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</si>
  <si>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</si>
  <si>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3.1.</t>
  </si>
  <si>
    <t>Мероприятие 3.2.</t>
  </si>
  <si>
    <t>Мероприятие 1.1.</t>
  </si>
  <si>
    <t>Мероприятие 1.1.1.</t>
  </si>
  <si>
    <t>Мероприятие 1.1.2.</t>
  </si>
  <si>
    <t>Мероприятие 1.1.3.</t>
  </si>
  <si>
    <t>Мероприятие 1.2.</t>
  </si>
  <si>
    <t>Мероприятие 1.2.1.</t>
  </si>
  <si>
    <t>Мероприятие 1.2.2.</t>
  </si>
  <si>
    <t>Мероприятие 1.2.3.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</si>
  <si>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</si>
  <si>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</si>
  <si>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</si>
  <si>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</si>
  <si>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</si>
  <si>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A1.7.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</si>
  <si>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</si>
  <si>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</si>
  <si>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</si>
  <si>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</si>
  <si>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</si>
  <si>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</si>
  <si>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2.6.</t>
  </si>
  <si>
    <t>Мероприятие 2.7.</t>
  </si>
  <si>
    <t>Мероприятие 2.8.</t>
  </si>
  <si>
    <t>Мероприятие P2.1.</t>
  </si>
  <si>
    <t>Мероприятие P2.2.</t>
  </si>
  <si>
    <t>Выполнено на 100%</t>
  </si>
  <si>
    <t>Выполнено на 49,6%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</si>
  <si>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</si>
  <si>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</si>
  <si>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</si>
  <si>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</si>
  <si>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</si>
  <si>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</si>
  <si>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</si>
  <si>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</si>
  <si>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</si>
  <si>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</si>
  <si>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Мероприятие 3.18.</t>
  </si>
  <si>
    <t>Мероприятие 3.3.</t>
  </si>
  <si>
    <t>Мероприятие 6.1.</t>
  </si>
  <si>
    <t>Мероприятие 18.3.</t>
  </si>
  <si>
    <t>Мероприятие 19.1.</t>
  </si>
  <si>
    <t>Мероприятие 19.1.1.</t>
  </si>
  <si>
    <t>Мероприятие 19.1.2.</t>
  </si>
  <si>
    <t>Выполнено на 99,7%</t>
  </si>
  <si>
    <t>Мероприятие 19.1.3.</t>
  </si>
  <si>
    <t>Мероприятие 19.2.</t>
  </si>
  <si>
    <t>Мероприятие 19.2.1.</t>
  </si>
  <si>
    <t>Мероприятие 5.1.1.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</si>
  <si>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</si>
  <si>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</si>
  <si>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</si>
  <si>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</si>
  <si>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</si>
  <si>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</si>
  <si>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</si>
  <si>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Расходы на обеспечение деятельности (оказание услуг) муниципальных учреждений в области физической культуры и спорта</t>
  </si>
  <si>
    <t>Организация и проведение официальных физкультурно-оздоровительных и спортивных мероприятий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</si>
  <si>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</si>
  <si>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</si>
  <si>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</si>
  <si>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</si>
  <si>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</si>
  <si>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Развитие мелиорации земель сельскохозяйственного назначения</t>
  </si>
  <si>
    <t>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</t>
  </si>
  <si>
    <t>Проведение мероприятий по комплексной борьбе с борщевиком Сосновского</t>
  </si>
  <si>
    <t>Мероприятие 3.1.1.</t>
  </si>
  <si>
    <t>Мероприятие 3.1.2.</t>
  </si>
  <si>
    <t>Мероприятие 1.3.1.</t>
  </si>
  <si>
    <t>Мероприятие 1.3.2.</t>
  </si>
  <si>
    <t>Мероприятие 1.3.3.</t>
  </si>
  <si>
    <t>Мероприятие 1.3.4.</t>
  </si>
  <si>
    <t>Мероприятие 1.3.5.</t>
  </si>
  <si>
    <t>Мероприятие 4.3.</t>
  </si>
  <si>
    <t>Мероприятие 4.4.</t>
  </si>
  <si>
    <t>Мероприятие 5.4.</t>
  </si>
  <si>
    <t>Мероприятие 7.9.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</si>
  <si>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</si>
  <si>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</si>
  <si>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</si>
  <si>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</si>
  <si>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</si>
  <si>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Мероприятие 1.10.10.</t>
  </si>
  <si>
    <t>Мероприятие 1.10.20.</t>
  </si>
  <si>
    <t>Мероприятие 2.1.1.</t>
  </si>
  <si>
    <t>Мероприятие 1.5.2.</t>
  </si>
  <si>
    <t>Мероприятие 1.5.3.</t>
  </si>
  <si>
    <t>Мероприятие 1.5.4.</t>
  </si>
  <si>
    <t>Мероприятие 1.5.5.</t>
  </si>
  <si>
    <t>Мероприятие 1.5.6.</t>
  </si>
  <si>
    <t>Мероприятие 1.5.7.</t>
  </si>
  <si>
    <t>Мероприятие 1.5.8.</t>
  </si>
  <si>
    <t>Мероприятие 1.5.9.</t>
  </si>
  <si>
    <t>Мероприятие 1.5.10.</t>
  </si>
  <si>
    <t>Мероприятие 1.6.1.</t>
  </si>
  <si>
    <t>Мероприятие 1.8.1.</t>
  </si>
  <si>
    <t>Выполнено на 97,8%</t>
  </si>
  <si>
    <t>Мероприятие 4.1.</t>
  </si>
  <si>
    <t>Мероприятие 7.1.</t>
  </si>
  <si>
    <t>Мероприятие 4.1.1.</t>
  </si>
  <si>
    <t>Мероприятие 4.1.2.</t>
  </si>
  <si>
    <t>Мероприятие 4.1.3.</t>
  </si>
  <si>
    <t>Мероприятие 4.1.3.1.</t>
  </si>
  <si>
    <t>Мероприятие 4.1.3.2.</t>
  </si>
  <si>
    <t>Мероприятие 4.1.3.3.</t>
  </si>
  <si>
    <t>Мероприятие 4.1.3.4.</t>
  </si>
  <si>
    <t>Мероприятие 4.1.4.</t>
  </si>
  <si>
    <t>Мероприятие 4.1.5.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</si>
  <si>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</si>
  <si>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</si>
  <si>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</si>
  <si>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</si>
  <si>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</si>
  <si>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</si>
  <si>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</si>
  <si>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</si>
  <si>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</si>
  <si>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</si>
  <si>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</si>
  <si>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</si>
  <si>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7.3.</t>
  </si>
  <si>
    <t>Мероприятие 7.4.</t>
  </si>
  <si>
    <t>Мероприятие I8.1.</t>
  </si>
  <si>
    <t>Мероприятие 6.2.</t>
  </si>
  <si>
    <t>Мероприятие 7.2.</t>
  </si>
  <si>
    <t>Мероприятие 5.5.</t>
  </si>
  <si>
    <t>Мероприятие 5.5.1.</t>
  </si>
  <si>
    <t>Мероприятие 5.5.2.</t>
  </si>
  <si>
    <t>Мероприятие 5.5.3.</t>
  </si>
  <si>
    <t>Мероприятие 5.5.4.</t>
  </si>
  <si>
    <t>Мероприятие 5.5.5.</t>
  </si>
  <si>
    <t>Мероприятие 5.5.6.</t>
  </si>
  <si>
    <t>Мероприятие 5.5.7.</t>
  </si>
  <si>
    <t>Мероприятие 5.5.8.</t>
  </si>
  <si>
    <t>Устройства тротуаров и парковочных мест вдоль автомобильных дорог местного значения</t>
  </si>
  <si>
    <t>Мероприятие 5.5.9.</t>
  </si>
  <si>
    <t>Мероприятие 5.6.</t>
  </si>
  <si>
    <t>Мероприятие 5.6.1.</t>
  </si>
  <si>
    <t>Мероприятие 5.6.2.</t>
  </si>
  <si>
    <t>Мероприятие 5.6.3.</t>
  </si>
  <si>
    <t>Мероприятие 5.7.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</si>
  <si>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</si>
  <si>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</si>
  <si>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</si>
  <si>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</si>
  <si>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</si>
  <si>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Выполнено на 40,7%</t>
  </si>
  <si>
    <t>Мероприятие D2.1.</t>
  </si>
  <si>
    <t>Мероприятие D2.10.</t>
  </si>
  <si>
    <t>Мероприятие D6.1.</t>
  </si>
  <si>
    <t>Мероприятие E4.3.</t>
  </si>
  <si>
    <t>Мероприятие E4.4.</t>
  </si>
  <si>
    <t>Мероприятие E4.15.</t>
  </si>
  <si>
    <t>Мероприятие E4.16.</t>
  </si>
  <si>
    <t>Мероприятие 1.11.</t>
  </si>
  <si>
    <t>Мероприятие 1.12.</t>
  </si>
  <si>
    <t>Устройство и капитальный ремонт систем наружного освещения в рамках реализации проекта "Светлый город" за счет средств местного бюджета</t>
  </si>
  <si>
    <t>Мероприятие 1.13.</t>
  </si>
  <si>
    <t>Мероприятие 1.14.</t>
  </si>
  <si>
    <t>Мероприятие 1.15.</t>
  </si>
  <si>
    <t>Мероприятие 1.15.1.</t>
  </si>
  <si>
    <t>Мероприятие 1.15.2.</t>
  </si>
  <si>
    <t>Мероприятие 1.15.3.</t>
  </si>
  <si>
    <t>Мероприятие 1.15.4.</t>
  </si>
  <si>
    <t>Мероприятие 1.15.5.</t>
  </si>
  <si>
    <t>Мероприятие 1.15.6.</t>
  </si>
  <si>
    <t>Мероприятие 1.15.7.</t>
  </si>
  <si>
    <t>Мероприятие 1.15.8.</t>
  </si>
  <si>
    <t>Мероприятие 1.15.9.</t>
  </si>
  <si>
    <t>Мероприятие 1.15.10.</t>
  </si>
  <si>
    <t>Выполнение комплексных работ в парках, в том числе, устройство наружных инженерных сетей (водопровод и канализация) к объектам парка и их подключение к существующим сетям</t>
  </si>
  <si>
    <t>Мероприятие 1.15.11.</t>
  </si>
  <si>
    <t>Мероприятие 1.15.12.</t>
  </si>
  <si>
    <t>Мероприятие 1.15.13.</t>
  </si>
  <si>
    <t>Мероприятие 1.15.14.</t>
  </si>
  <si>
    <t>Мероприятие 1.16.</t>
  </si>
  <si>
    <t>Мероприятие 1.17.</t>
  </si>
  <si>
    <t>Мероприятие 1.21.</t>
  </si>
  <si>
    <t>Мероприятие 1.25.</t>
  </si>
  <si>
    <t>Создание и ремонт пешеходных коммуникаций</t>
  </si>
  <si>
    <t>Мероприятие F2.1.</t>
  </si>
  <si>
    <t>Мероприятие F2.3.</t>
  </si>
  <si>
    <t>Мероприятие F2.3.1.</t>
  </si>
  <si>
    <t>Мероприятие F2.3.2.</t>
  </si>
  <si>
    <t>Мероприятие F2.5.</t>
  </si>
  <si>
    <t>Мероприятие F2.6.</t>
  </si>
  <si>
    <t>Мероприятие F2.7.</t>
  </si>
  <si>
    <t>Мероприятие F2.7.1.</t>
  </si>
  <si>
    <t>Мероприятие F2.8.</t>
  </si>
  <si>
    <t>Мероприятие F2.8.1.</t>
  </si>
  <si>
    <t>Мероприятие F2.8.2.</t>
  </si>
  <si>
    <t>Мероприятие F2.10.</t>
  </si>
  <si>
    <t>Устройство и капитальный ремонт систем наружного освещения в рамках реализации проекта «Светлый город»</t>
  </si>
  <si>
    <t>Мероприятие F2.11.</t>
  </si>
  <si>
    <t>Мероприятие F2.15.</t>
  </si>
  <si>
    <t>Мероприятие F2.18.</t>
  </si>
  <si>
    <t>Мероприятие F2.19.</t>
  </si>
  <si>
    <t>Мероприятие F2.22.</t>
  </si>
  <si>
    <t>Мероприятие 1.4.1.</t>
  </si>
  <si>
    <t>Мероприятие 1.4.2.</t>
  </si>
  <si>
    <t>Мероприятие 1.4.3.</t>
  </si>
  <si>
    <t>Мероприятие 1.4.4.</t>
  </si>
  <si>
    <t>Мероприятие 1.4.5.</t>
  </si>
  <si>
    <t>Мероприятие 1.4.6.</t>
  </si>
  <si>
    <t>Мероприятие 1.4.7.</t>
  </si>
  <si>
    <t>Выполнение работ по ремонту подземного перехода в городе Реутов</t>
  </si>
  <si>
    <t>Мероприятие E1.2.</t>
  </si>
  <si>
    <t>Мероприятие E8.2.</t>
  </si>
  <si>
    <t>Выполнено на 70%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</si>
  <si>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</si>
  <si>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</si>
  <si>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Выполнено на 99,8%</t>
  </si>
  <si>
    <t>Создание условий для массового отдыха жителей городского округа в парках культуры и отдыха</t>
  </si>
  <si>
    <t>Выполнено на 99,9%</t>
  </si>
  <si>
    <t>Выполнено на 98,9%</t>
  </si>
  <si>
    <t>Выполнено на 98,8%</t>
  </si>
  <si>
    <t>Выполнено на 99,5%</t>
  </si>
  <si>
    <t>Выполнено на 89,5%</t>
  </si>
  <si>
    <t>Выполнено на 98%</t>
  </si>
  <si>
    <t>Выполнено на 99,3%</t>
  </si>
  <si>
    <t>Выполнено на 97,9%</t>
  </si>
  <si>
    <t>Выполнено на 75,1%</t>
  </si>
  <si>
    <t>Выполнено на 98,6%</t>
  </si>
  <si>
    <t>Выполнено на 92,8%</t>
  </si>
  <si>
    <t xml:space="preserve">Выполнено на 99,9% </t>
  </si>
  <si>
    <t>Выполнено на 93,5%</t>
  </si>
  <si>
    <t>Выполнено на 90,1%</t>
  </si>
  <si>
    <t>Выполнено на 94,1%</t>
  </si>
  <si>
    <t>Выполнено на 85,8%</t>
  </si>
  <si>
    <t>Выполнено на 97%</t>
  </si>
  <si>
    <t>Выполнено на 99,6%</t>
  </si>
  <si>
    <t>Выполнено на 98,7%</t>
  </si>
  <si>
    <t>Выполнено на 97,7%</t>
  </si>
  <si>
    <t>Выполнено на 98,4%</t>
  </si>
  <si>
    <t>Выполнено на 90,4%</t>
  </si>
  <si>
    <t>Выполнено на 88,3%</t>
  </si>
  <si>
    <t>Выполнено на 87,4%</t>
  </si>
  <si>
    <t>Оказание мер социальной поддержки отдельным категориям граждан</t>
  </si>
  <si>
    <t xml:space="preserve">Оказание материальной помощи гражданам, имеющим место жительства в Московской области	</t>
  </si>
  <si>
    <t>Выполнено на 96,6%</t>
  </si>
  <si>
    <t>Выполнено на 50,7%</t>
  </si>
  <si>
    <t>Выполнено на 93%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</si>
  <si>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</si>
  <si>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</si>
  <si>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</si>
  <si>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</si>
  <si>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Организация и проведение массовых, официальных физкультурных и спортивных мероприятий</t>
  </si>
  <si>
    <t>Выполнено на 25,3%</t>
  </si>
  <si>
    <t>Выполнено на 26,2%</t>
  </si>
  <si>
    <t>Выполнено на 98,6 %</t>
  </si>
  <si>
    <t>Профилактические мероприятия по содержанию мест массового пребывания людей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</si>
  <si>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</si>
  <si>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</t>
  </si>
  <si>
    <t>Выполнено на 61,7%</t>
  </si>
  <si>
    <t>Мероприятие 3.1.3.</t>
  </si>
  <si>
    <t>Оценка права безвозмездного пользования фандоматами</t>
  </si>
  <si>
    <t>Выполнено на 97,2%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</si>
  <si>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</si>
  <si>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</si>
  <si>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</si>
  <si>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Выполнено на 90,7%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</si>
  <si>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</si>
  <si>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</si>
  <si>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</si>
  <si>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Мероприятие 3.5.1.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</si>
  <si>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</si>
  <si>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</si>
  <si>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Развитие похоронного дела на территории Московской области</t>
  </si>
  <si>
    <t>Выполнено на 92,6%</t>
  </si>
  <si>
    <t>Осуществление переданных полномочий Московской области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</si>
  <si>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</si>
  <si>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>Проведение и участие в учениях, соревнованиях, тренировках, смотрах-конкурсах, семинарах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</si>
  <si>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</si>
  <si>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</si>
  <si>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платы)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</si>
  <si>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</si>
  <si>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аншлагов)</t>
  </si>
  <si>
    <t>Выполнено на 99,4%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</si>
  <si>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</si>
  <si>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Выполнено на 25,4%</t>
  </si>
  <si>
    <t>Создание, оборудование и содержание (в том числе очистка) противопожарных водоемов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</si>
  <si>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</si>
  <si>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Выполнено на 94,9%</t>
  </si>
  <si>
    <t>Выполнение работ по техническому обслуживанию пожарного водопровода и перекатка пожарных рукавов</t>
  </si>
  <si>
    <t>Мероприятие 1.5.11.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</si>
  <si>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</si>
  <si>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</si>
  <si>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Закупка имущества гражданской обороны, недостающего до норм обеспечения</t>
  </si>
  <si>
    <t>Выполнено на 96,2%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</si>
  <si>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</si>
  <si>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Выполнено на 96,1%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</si>
  <si>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</si>
  <si>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</si>
  <si>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</si>
  <si>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</si>
  <si>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</si>
  <si>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</t>
  </si>
  <si>
    <t>Организация учета энергоресурсов в жилищном фонде Московской области</t>
  </si>
  <si>
    <t>Выполнено на 94,5%</t>
  </si>
  <si>
    <t>Выполнено на 99,2%</t>
  </si>
  <si>
    <t>Мероприятие 4.1.12.</t>
  </si>
  <si>
    <t>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д.27</t>
  </si>
  <si>
    <t xml:space="preserve">В 2021 году мероприятие не действует </t>
  </si>
  <si>
    <t>Мероприятие 4.1.13.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</si>
  <si>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д.27</t>
  </si>
  <si>
    <t>В 2021 году мероприятие не действует</t>
  </si>
  <si>
    <t>Мероприятие 4.1.14.</t>
  </si>
  <si>
    <t>Ремонт здания и школьного стадиона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</si>
  <si>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4.1.15.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</si>
  <si>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</si>
  <si>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4.1.16.</t>
  </si>
  <si>
    <t>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</t>
  </si>
  <si>
    <t>Мероприятие 4.1.17.</t>
  </si>
  <si>
    <t xml:space="preserve">Оснащение профильных информационно-технологических классов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 </t>
  </si>
  <si>
    <t>Отсутствие муниципальных долговых обязательств на 01.01.2022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</si>
  <si>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</si>
  <si>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</si>
  <si>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</si>
  <si>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</si>
  <si>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</si>
  <si>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</si>
  <si>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</si>
  <si>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</si>
  <si>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</si>
  <si>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</si>
  <si>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</si>
  <si>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</si>
  <si>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</si>
  <si>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Выполнено на 93,8%</t>
  </si>
  <si>
    <t>Реализация проектов граждан, сформированных в рамках практик инициативного бюджетирования</t>
  </si>
  <si>
    <t>Расходы на обеспечение деятельности (оказание услуг) муниципальных учреждений в сфере молодежной политики</t>
  </si>
  <si>
    <t>Выполнено на 87,5%</t>
  </si>
  <si>
    <t>Выполнено на 41,8%</t>
  </si>
  <si>
    <t>Выполнено на 97,5%</t>
  </si>
  <si>
    <t>Выполнено на 95,7%</t>
  </si>
  <si>
    <t>Оценка качества укладки асфальта при ремонте дорог</t>
  </si>
  <si>
    <t>Мероприятие 5.5.10.</t>
  </si>
  <si>
    <t>10 "Устройство остановочных павильонов"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</si>
  <si>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</si>
  <si>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</si>
  <si>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Субсидии на иные цели</t>
  </si>
  <si>
    <t>Выполнено на 98,5%</t>
  </si>
  <si>
    <t>Выполнено на 90,3%</t>
  </si>
  <si>
    <t>Выполнено на 97,3%</t>
  </si>
  <si>
    <t>Выполнено на 75,9%</t>
  </si>
  <si>
    <t>Мероприятие D2.2.</t>
  </si>
  <si>
    <t>Мероприятие D2.3.</t>
  </si>
  <si>
    <t>Мероприятие D2.4.</t>
  </si>
  <si>
    <t>Мероприятие E4.6.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</si>
  <si>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</si>
  <si>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E4.7.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</si>
  <si>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</si>
  <si>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</si>
  <si>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</si>
  <si>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Выполнено на 71,6%</t>
  </si>
  <si>
    <t>Приобретение и установка технических сооружений (устройств) для развлечений, оснащенных электрическим приводом</t>
  </si>
  <si>
    <t>Выполнено на 48,3%</t>
  </si>
  <si>
    <t>Стратегия озеленения города "Зеленый каркас</t>
  </si>
  <si>
    <t>Благоустройство территории между поликлиникой на 750 посещений в смену в 10 мкр. и детским садом</t>
  </si>
  <si>
    <t>Обустройство велосипедной дорожки на вновь построенном участке улицы Октября</t>
  </si>
  <si>
    <t>Гидрологическое исследование пруда</t>
  </si>
  <si>
    <t>Мероприятие 1.15.15.</t>
  </si>
  <si>
    <t>Проект лесопарковой зоны</t>
  </si>
  <si>
    <t>Мероприятие 1.19.</t>
  </si>
  <si>
    <t>Возмещение затрат, связанных с выполнением работ по благоустройству территорий общего пользования муниципальных образований Московской области</t>
  </si>
  <si>
    <t>Мероприятие 1.20.</t>
  </si>
  <si>
    <t>Реализация мероприятий по благоустройству территорий, прилегающих к железнодорожным станциям</t>
  </si>
  <si>
    <t>Мероприятие 1.22.</t>
  </si>
  <si>
    <t>Улучшение архитектурно-художественного облика территорий муниципальных образований Московской области, не входящих в состав городов</t>
  </si>
  <si>
    <t>Мероприятие 1.23.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</si>
  <si>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</si>
  <si>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1.24.</t>
  </si>
  <si>
    <t>Улучшение архитектурно-художественного облика улиц городов</t>
  </si>
  <si>
    <t>Мероприятие 1.26.</t>
  </si>
  <si>
    <t>Изготовление и установка стел "Город трудовой доблести"</t>
  </si>
  <si>
    <t>Мероприятие 1.27.</t>
  </si>
  <si>
    <t>Размещение общественных туалетов нестационарного типа на территориях общего пользования</t>
  </si>
  <si>
    <t>Мероприятие 1.35.</t>
  </si>
  <si>
    <t>Реализация программ формирования современной городской среды в части благоустройства общественных территорий за счет средств местного бюджета</t>
  </si>
  <si>
    <t>Мероприятие 1.36.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</si>
  <si>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 за счет средств местного бюджета</t>
  </si>
  <si>
    <t>Мероприятие 1.37.</t>
  </si>
  <si>
    <t>Благоустройство лесопарковых зон</t>
  </si>
  <si>
    <t>Выполнено на 88%</t>
  </si>
  <si>
    <t>Реконструкция ул. Парковая от ул. Ашхабадская до пересечения с ул. Гагарина</t>
  </si>
  <si>
    <t>Мероприятие F2.17.</t>
  </si>
  <si>
    <t>Устройство архитектурно-художественного освещения в рамках реализации проекта "Светлый город"</t>
  </si>
  <si>
    <t>Мероприятие F2.28.</t>
  </si>
  <si>
    <t>Благоустройство зон для досуга и отдыха населения в парках культуры и отдыха</t>
  </si>
  <si>
    <t>Выполнено на 93,9%</t>
  </si>
  <si>
    <t>Выполнено на 99,1%</t>
  </si>
  <si>
    <t>Проведение капитального ремонта многоквартирных домов на территории Московской области</t>
  </si>
  <si>
    <t>Выполнено на 94%</t>
  </si>
  <si>
    <t>Выполнено на 94,2%</t>
  </si>
  <si>
    <t>Порядковые № разделов и мероприятий, предусмотренных муниципальной программой</t>
  </si>
  <si>
    <t>ОПЕРАТИВНЫЙ ОТЧЕТ О ВЫПОЛНЕНИИ МУНИЦИПАЛЬНЫХ ПРОГРАММ ГОРОДСКОГО ОКРУГА РЕУТОВ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</si>
</sst>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76">
    <xf numFmtId="0" fontId="0" fillId="0" borderId="0" xfId="0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8" xfId="0" applyNumberFormat="1" applyFont="1" applyFill="1" applyBorder="1" applyAlignment="1" applyProtection="1">
      <alignment horizontal="left" vertical="center" wrapText="1"/>
      <protection locked="0"/>
    </xf>
    <xf numFmtId="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9" fillId="2" borderId="2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0" applyNumberFormat="1" applyFont="1" applyFill="1" applyBorder="1" applyAlignment="1" applyProtection="1">
      <alignment horizontal="left" vertical="center" wrapText="1"/>
      <protection locked="0"/>
    </xf>
    <xf numFmtId="4" fontId="9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top" wrapTex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center" vertical="top" wrapText="1"/>
      <protection locked="0"/>
    </xf>
    <xf numFmtId="0" fontId="6" fillId="2" borderId="5" xfId="1" applyNumberFormat="1" applyFont="1" applyFill="1" applyBorder="1" applyAlignment="1" applyProtection="1">
      <alignment horizontal="center" vertical="top" wrapText="1"/>
      <protection locked="0"/>
    </xf>
    <xf numFmtId="0" fontId="6" fillId="2" borderId="7" xfId="1" applyNumberFormat="1" applyFont="1" applyFill="1" applyBorder="1" applyAlignment="1" applyProtection="1">
      <alignment horizontal="center" vertical="top" wrapText="1"/>
      <protection locked="0"/>
    </xf>
    <xf numFmtId="4" fontId="13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4" fontId="8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11" fillId="2" borderId="0" xfId="0" applyNumberFormat="1" applyFont="1" applyFill="1"/>
    <xf numFmtId="4" fontId="12" fillId="2" borderId="0" xfId="0" applyNumberFormat="1" applyFont="1" applyFill="1"/>
    <xf numFmtId="0" fontId="1" fillId="2" borderId="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right" vertical="center" wrapText="1"/>
    </xf>
    <xf numFmtId="0" fontId="10" fillId="2" borderId="19" xfId="0" applyFont="1" applyFill="1" applyBorder="1" applyAlignment="1">
      <alignment horizontal="right" vertical="center" wrapText="1"/>
    </xf>
    <xf numFmtId="0" fontId="10" fillId="2" borderId="20" xfId="0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/>
    </xf>
    <xf numFmtId="0" fontId="10" fillId="2" borderId="22" xfId="0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horizontal="center" vertical="top" wrapText="1"/>
    </xf>
    <xf numFmtId="0" fontId="10" fillId="2" borderId="24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center"/>
    </xf>
    <xf numFmtId="0" fontId="10" fillId="2" borderId="19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6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8" fillId="2" borderId="7" xfId="0" applyNumberFormat="1" applyFont="1" applyFill="1" applyBorder="1" applyAlignment="1" applyProtection="1">
      <alignment horizontal="center" vertical="top"/>
      <protection locked="0"/>
    </xf>
    <xf numFmtId="0" fontId="8" fillId="2" borderId="9" xfId="0" applyNumberFormat="1" applyFont="1" applyFill="1" applyBorder="1" applyAlignment="1" applyProtection="1">
      <alignment horizontal="right" vertical="center"/>
      <protection locked="0"/>
    </xf>
    <xf numFmtId="0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2" borderId="11" xfId="0" applyNumberFormat="1" applyFont="1" applyFill="1" applyBorder="1" applyAlignment="1" applyProtection="1">
      <alignment horizontal="right" vertical="center"/>
      <protection locked="0"/>
    </xf>
    <xf numFmtId="0" fontId="10" fillId="2" borderId="15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FF69A6"/>
      <color rgb="FFFF0066"/>
      <color rgb="FFE8E5FF"/>
      <color rgb="FFD5FEFF"/>
      <color rgb="FFE7FFFE"/>
      <color rgb="FFDAF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9"/>
  <sheetViews>
    <sheetView tabSelected="1" zoomScale="90" zoomScaleNormal="90" workbookViewId="0">
      <selection activeCell="L6" sqref="L6"/>
    </sheetView>
  </sheetViews>
  <sheetFormatPr defaultColWidth="8.85546875" defaultRowHeight="15" x14ac:dyDescent="0.25"/>
  <cols>
    <col min="1" max="1" width="8.85546875" style="28"/>
    <col min="2" max="2" width="18.5703125" style="28" customWidth="1"/>
    <col min="3" max="3" width="22.140625" style="28" customWidth="1"/>
    <col min="4" max="4" width="54.28515625" style="28" customWidth="1"/>
    <col min="5" max="5" width="19.28515625" style="34" customWidth="1"/>
    <col min="6" max="6" width="15.7109375" style="34" customWidth="1"/>
    <col min="7" max="7" width="23.42578125" style="28" customWidth="1"/>
    <col min="8" max="8" width="16.28515625" style="34" customWidth="1"/>
    <col min="9" max="16384" width="8.85546875" style="28"/>
  </cols>
  <sheetData>
    <row r="1" spans="1:8" ht="18" customHeight="1" x14ac:dyDescent="0.25">
      <c r="A1" s="37" t="s">
        <v>920</v>
      </c>
      <c r="B1" s="37"/>
      <c r="C1" s="37"/>
      <c r="D1" s="37"/>
      <c r="E1" s="37"/>
      <c r="F1" s="37"/>
      <c r="G1" s="37"/>
      <c r="H1" s="37"/>
    </row>
    <row r="2" spans="1:8" ht="13.9" hidden="1" customHeight="1" x14ac:dyDescent="0.25">
      <c r="A2" s="37"/>
      <c r="B2" s="37"/>
      <c r="C2" s="37"/>
      <c r="D2" s="37"/>
      <c r="E2" s="37"/>
      <c r="F2" s="37"/>
      <c r="G2" s="37"/>
      <c r="H2" s="37"/>
    </row>
    <row r="3" spans="1:8" ht="60" x14ac:dyDescent="0.25">
      <c r="A3" s="20" t="s">
        <v>0</v>
      </c>
      <c r="B3" s="20" t="s">
        <v>1</v>
      </c>
      <c r="C3" s="20" t="s">
        <v>919</v>
      </c>
      <c r="D3" s="20" t="s">
        <v>2</v>
      </c>
      <c r="E3" s="19" t="s">
        <v>3</v>
      </c>
      <c r="F3" s="19" t="s">
        <v>4</v>
      </c>
      <c r="G3" s="21" t="s">
        <v>5</v>
      </c>
      <c r="H3" s="19" t="s">
        <v>6</v>
      </c>
    </row>
    <row r="4" spans="1:8" ht="15.75" thickBot="1" x14ac:dyDescent="0.3">
      <c r="A4" s="1">
        <v>1</v>
      </c>
      <c r="B4" s="2">
        <v>2</v>
      </c>
      <c r="C4" s="3">
        <v>3</v>
      </c>
      <c r="D4" s="4">
        <v>4</v>
      </c>
      <c r="E4" s="22">
        <v>5</v>
      </c>
      <c r="F4" s="22">
        <v>6</v>
      </c>
      <c r="G4" s="23">
        <v>7</v>
      </c>
      <c r="H4" s="24">
        <v>8</v>
      </c>
    </row>
    <row r="5" spans="1:8" ht="24" x14ac:dyDescent="0.25">
      <c r="A5" s="65">
        <v>1</v>
      </c>
      <c r="B5" s="67" t="s">
        <v>7</v>
      </c>
      <c r="C5" s="5" t="s">
        <v>8</v>
      </c>
      <c r="D5" s="5" t="s">
        <v>9</v>
      </c>
      <c r="E5" s="6">
        <f>E6</f>
        <v>0</v>
      </c>
      <c r="F5" s="6">
        <f>F6</f>
        <v>0</v>
      </c>
      <c r="G5" s="10" t="s">
        <v>10</v>
      </c>
      <c r="H5" s="11">
        <f>H6</f>
        <v>0</v>
      </c>
    </row>
    <row r="6" spans="1:8" ht="48" x14ac:dyDescent="0.25">
      <c r="A6" s="66"/>
      <c r="B6" s="68"/>
      <c r="C6" s="7" t="s">
        <v>11</v>
      </c>
      <c r="D6" s="7" t="s">
        <v>12</v>
      </c>
      <c r="E6" s="8">
        <f>E7</f>
        <v>0</v>
      </c>
      <c r="F6" s="8">
        <f>F7</f>
        <v>0</v>
      </c>
      <c r="G6" s="12" t="s">
        <v>10</v>
      </c>
      <c r="H6" s="13">
        <f>H7</f>
        <v>0</v>
      </c>
    </row>
    <row r="7" spans="1:8" ht="24" x14ac:dyDescent="0.25">
      <c r="A7" s="66"/>
      <c r="B7" s="68"/>
      <c r="C7" s="9" t="s">
        <v>523</v>
      </c>
      <c r="D7" s="7" t="s">
        <v>462</v>
      </c>
      <c r="E7" s="8">
        <f>0</f>
        <v>0</v>
      </c>
      <c r="F7" s="8">
        <f>0</f>
        <v>0</v>
      </c>
      <c r="G7" s="12" t="s">
        <v>10</v>
      </c>
      <c r="H7" s="13">
        <f>0</f>
        <v>0</v>
      </c>
    </row>
    <row r="8" spans="1:8" ht="24" customHeight="1" x14ac:dyDescent="0.25">
      <c r="A8" s="66"/>
      <c r="B8" s="68"/>
      <c r="C8" s="5" t="s">
        <v>13</v>
      </c>
      <c r="D8" s="5" t="s">
        <v>14</v>
      </c>
      <c r="E8" s="6">
        <f>E9</f>
        <v>3770</v>
      </c>
      <c r="F8" s="6">
        <f>F9</f>
        <v>2651</v>
      </c>
      <c r="G8" s="10" t="s">
        <v>733</v>
      </c>
      <c r="H8" s="11">
        <f>H9</f>
        <v>2651</v>
      </c>
    </row>
    <row r="9" spans="1:8" x14ac:dyDescent="0.25">
      <c r="A9" s="66"/>
      <c r="B9" s="68"/>
      <c r="C9" s="7" t="s">
        <v>11</v>
      </c>
      <c r="D9" s="7" t="s">
        <v>15</v>
      </c>
      <c r="E9" s="8">
        <f>E10+E11</f>
        <v>3770</v>
      </c>
      <c r="F9" s="8">
        <f>F10+F11</f>
        <v>2651</v>
      </c>
      <c r="G9" s="12" t="s">
        <v>733</v>
      </c>
      <c r="H9" s="13">
        <f>H10+H11</f>
        <v>2651</v>
      </c>
    </row>
    <row r="10" spans="1:8" ht="24" x14ac:dyDescent="0.25">
      <c r="A10" s="66"/>
      <c r="B10" s="68"/>
      <c r="C10" s="9" t="s">
        <v>523</v>
      </c>
      <c r="D10" s="7" t="s">
        <v>16</v>
      </c>
      <c r="E10" s="8">
        <f>0</f>
        <v>0</v>
      </c>
      <c r="F10" s="8">
        <f>0</f>
        <v>0</v>
      </c>
      <c r="G10" s="12" t="s">
        <v>10</v>
      </c>
      <c r="H10" s="13">
        <f>0</f>
        <v>0</v>
      </c>
    </row>
    <row r="11" spans="1:8" ht="36" x14ac:dyDescent="0.25">
      <c r="A11" s="66"/>
      <c r="B11" s="68"/>
      <c r="C11" s="9" t="s">
        <v>524</v>
      </c>
      <c r="D11" s="7" t="s">
        <v>17</v>
      </c>
      <c r="E11" s="8">
        <f>3770</f>
        <v>3770</v>
      </c>
      <c r="F11" s="8">
        <f>2651</f>
        <v>2651</v>
      </c>
      <c r="G11" s="12" t="s">
        <v>733</v>
      </c>
      <c r="H11" s="13">
        <f>2651</f>
        <v>2651</v>
      </c>
    </row>
    <row r="12" spans="1:8" ht="18" customHeight="1" thickBot="1" x14ac:dyDescent="0.3">
      <c r="A12" s="69" t="s">
        <v>18</v>
      </c>
      <c r="B12" s="70"/>
      <c r="C12" s="70"/>
      <c r="D12" s="71"/>
      <c r="E12" s="29">
        <f>E5+E8</f>
        <v>3770</v>
      </c>
      <c r="F12" s="29">
        <f>F5+F8</f>
        <v>2651</v>
      </c>
      <c r="G12" s="30" t="s">
        <v>733</v>
      </c>
      <c r="H12" s="31">
        <f>H5+H8</f>
        <v>2651</v>
      </c>
    </row>
    <row r="13" spans="1:8" ht="16.149999999999999" customHeight="1" x14ac:dyDescent="0.25">
      <c r="A13" s="48">
        <v>2</v>
      </c>
      <c r="B13" s="72" t="s">
        <v>19</v>
      </c>
      <c r="C13" s="5" t="s">
        <v>20</v>
      </c>
      <c r="D13" s="5" t="s">
        <v>463</v>
      </c>
      <c r="E13" s="15">
        <f>E14</f>
        <v>11294.87</v>
      </c>
      <c r="F13" s="15">
        <f>F14</f>
        <v>11294.87</v>
      </c>
      <c r="G13" s="16" t="s">
        <v>550</v>
      </c>
      <c r="H13" s="17">
        <f>H14</f>
        <v>11294.87</v>
      </c>
    </row>
    <row r="14" spans="1:8" x14ac:dyDescent="0.25">
      <c r="A14" s="48"/>
      <c r="B14" s="72"/>
      <c r="C14" s="7" t="s">
        <v>21</v>
      </c>
      <c r="D14" s="7" t="s">
        <v>22</v>
      </c>
      <c r="E14" s="8">
        <f>E15+E19</f>
        <v>11294.87</v>
      </c>
      <c r="F14" s="8">
        <f>F15+F19</f>
        <v>11294.87</v>
      </c>
      <c r="G14" s="12" t="s">
        <v>550</v>
      </c>
      <c r="H14" s="13">
        <f>H15+H19</f>
        <v>11294.87</v>
      </c>
    </row>
    <row r="15" spans="1:8" ht="24" x14ac:dyDescent="0.25">
      <c r="A15" s="48"/>
      <c r="B15" s="72"/>
      <c r="C15" s="9" t="s">
        <v>525</v>
      </c>
      <c r="D15" s="7" t="s">
        <v>23</v>
      </c>
      <c r="E15" s="8">
        <f>E16+E17+E18</f>
        <v>11294.87</v>
      </c>
      <c r="F15" s="8">
        <f>F16+F17+F18</f>
        <v>11294.87</v>
      </c>
      <c r="G15" s="12" t="s">
        <v>550</v>
      </c>
      <c r="H15" s="13">
        <f>H16+H17+H18</f>
        <v>11294.87</v>
      </c>
    </row>
    <row r="16" spans="1:8" ht="24" x14ac:dyDescent="0.25">
      <c r="A16" s="48"/>
      <c r="B16" s="72"/>
      <c r="C16" s="9" t="s">
        <v>526</v>
      </c>
      <c r="D16" s="7" t="s">
        <v>386</v>
      </c>
      <c r="E16" s="8">
        <f>11104.87</f>
        <v>11104.87</v>
      </c>
      <c r="F16" s="8">
        <f>11104.87</f>
        <v>11104.87</v>
      </c>
      <c r="G16" s="12" t="s">
        <v>550</v>
      </c>
      <c r="H16" s="13">
        <f>11104.87</f>
        <v>11104.87</v>
      </c>
    </row>
    <row r="17" spans="1:8" ht="24" x14ac:dyDescent="0.25">
      <c r="A17" s="48"/>
      <c r="B17" s="72"/>
      <c r="C17" s="9" t="s">
        <v>527</v>
      </c>
      <c r="D17" s="7" t="s">
        <v>387</v>
      </c>
      <c r="E17" s="8">
        <f>0</f>
        <v>0</v>
      </c>
      <c r="F17" s="8">
        <f>0</f>
        <v>0</v>
      </c>
      <c r="G17" s="12" t="s">
        <v>10</v>
      </c>
      <c r="H17" s="13">
        <f>0</f>
        <v>0</v>
      </c>
    </row>
    <row r="18" spans="1:8" x14ac:dyDescent="0.25">
      <c r="A18" s="48"/>
      <c r="B18" s="72"/>
      <c r="C18" s="9" t="s">
        <v>528</v>
      </c>
      <c r="D18" s="7" t="s">
        <v>388</v>
      </c>
      <c r="E18" s="8">
        <f>190</f>
        <v>190</v>
      </c>
      <c r="F18" s="8">
        <f>190</f>
        <v>190</v>
      </c>
      <c r="G18" s="12" t="s">
        <v>550</v>
      </c>
      <c r="H18" s="13">
        <f>190</f>
        <v>190</v>
      </c>
    </row>
    <row r="19" spans="1:8" ht="24" x14ac:dyDescent="0.25">
      <c r="A19" s="48"/>
      <c r="B19" s="72"/>
      <c r="C19" s="9" t="s">
        <v>529</v>
      </c>
      <c r="D19" s="7" t="s">
        <v>24</v>
      </c>
      <c r="E19" s="8">
        <f>0</f>
        <v>0</v>
      </c>
      <c r="F19" s="8">
        <f>0</f>
        <v>0</v>
      </c>
      <c r="G19" s="12" t="s">
        <v>10</v>
      </c>
      <c r="H19" s="13">
        <f>0</f>
        <v>0</v>
      </c>
    </row>
    <row r="20" spans="1:8" ht="17.45" customHeight="1" x14ac:dyDescent="0.25">
      <c r="A20" s="48"/>
      <c r="B20" s="72"/>
      <c r="C20" s="5" t="s">
        <v>25</v>
      </c>
      <c r="D20" s="5" t="s">
        <v>464</v>
      </c>
      <c r="E20" s="6">
        <f>E21</f>
        <v>31684.959999999999</v>
      </c>
      <c r="F20" s="6">
        <f>F21</f>
        <v>31684.959999999999</v>
      </c>
      <c r="G20" s="10" t="s">
        <v>550</v>
      </c>
      <c r="H20" s="11">
        <f>H21</f>
        <v>31684.959999999999</v>
      </c>
    </row>
    <row r="21" spans="1:8" ht="24" x14ac:dyDescent="0.25">
      <c r="A21" s="48"/>
      <c r="B21" s="72"/>
      <c r="C21" s="7" t="s">
        <v>21</v>
      </c>
      <c r="D21" s="7" t="s">
        <v>26</v>
      </c>
      <c r="E21" s="8">
        <f>E22+E26+E27+E28+E29</f>
        <v>31684.959999999999</v>
      </c>
      <c r="F21" s="8">
        <f>F22+F26+F27+F28+F29</f>
        <v>31684.959999999999</v>
      </c>
      <c r="G21" s="12" t="s">
        <v>550</v>
      </c>
      <c r="H21" s="13">
        <f>H22+H26+H27+H28+H29</f>
        <v>31684.959999999999</v>
      </c>
    </row>
    <row r="22" spans="1:8" ht="24" x14ac:dyDescent="0.25">
      <c r="A22" s="48"/>
      <c r="B22" s="72"/>
      <c r="C22" s="9" t="s">
        <v>529</v>
      </c>
      <c r="D22" s="7" t="s">
        <v>27</v>
      </c>
      <c r="E22" s="8">
        <f>E23+E24+E25</f>
        <v>30836.02</v>
      </c>
      <c r="F22" s="8">
        <f>F23+F24+F25</f>
        <v>30836.02</v>
      </c>
      <c r="G22" s="12" t="s">
        <v>550</v>
      </c>
      <c r="H22" s="13">
        <f>H23+H24+H25</f>
        <v>30836.02</v>
      </c>
    </row>
    <row r="23" spans="1:8" ht="24" x14ac:dyDescent="0.25">
      <c r="A23" s="48"/>
      <c r="B23" s="72"/>
      <c r="C23" s="9" t="s">
        <v>530</v>
      </c>
      <c r="D23" s="7" t="s">
        <v>386</v>
      </c>
      <c r="E23" s="8">
        <f>30676.59</f>
        <v>30676.59</v>
      </c>
      <c r="F23" s="8">
        <f>30676.59</f>
        <v>30676.59</v>
      </c>
      <c r="G23" s="12" t="s">
        <v>550</v>
      </c>
      <c r="H23" s="13">
        <f>30676.59</f>
        <v>30676.59</v>
      </c>
    </row>
    <row r="24" spans="1:8" ht="24" x14ac:dyDescent="0.25">
      <c r="A24" s="48"/>
      <c r="B24" s="72"/>
      <c r="C24" s="9" t="s">
        <v>531</v>
      </c>
      <c r="D24" s="7" t="s">
        <v>387</v>
      </c>
      <c r="E24" s="8">
        <f>0</f>
        <v>0</v>
      </c>
      <c r="F24" s="8">
        <f>0</f>
        <v>0</v>
      </c>
      <c r="G24" s="12" t="s">
        <v>10</v>
      </c>
      <c r="H24" s="13">
        <f>0</f>
        <v>0</v>
      </c>
    </row>
    <row r="25" spans="1:8" x14ac:dyDescent="0.25">
      <c r="A25" s="48"/>
      <c r="B25" s="72"/>
      <c r="C25" s="9" t="s">
        <v>532</v>
      </c>
      <c r="D25" s="7" t="s">
        <v>388</v>
      </c>
      <c r="E25" s="8">
        <f>159.43</f>
        <v>159.43</v>
      </c>
      <c r="F25" s="8">
        <f>159.43</f>
        <v>159.43</v>
      </c>
      <c r="G25" s="12" t="s">
        <v>550</v>
      </c>
      <c r="H25" s="13">
        <f>159.43</f>
        <v>159.43</v>
      </c>
    </row>
    <row r="26" spans="1:8" ht="24" x14ac:dyDescent="0.25">
      <c r="A26" s="48"/>
      <c r="B26" s="72"/>
      <c r="C26" s="9" t="s">
        <v>533</v>
      </c>
      <c r="D26" s="7" t="s">
        <v>28</v>
      </c>
      <c r="E26" s="8">
        <f>0</f>
        <v>0</v>
      </c>
      <c r="F26" s="8">
        <f>0</f>
        <v>0</v>
      </c>
      <c r="G26" s="12" t="s">
        <v>10</v>
      </c>
      <c r="H26" s="13">
        <f>0</f>
        <v>0</v>
      </c>
    </row>
    <row r="27" spans="1:8" ht="24" x14ac:dyDescent="0.25">
      <c r="A27" s="48"/>
      <c r="B27" s="72"/>
      <c r="C27" s="9" t="s">
        <v>534</v>
      </c>
      <c r="D27" s="7" t="s">
        <v>465</v>
      </c>
      <c r="E27" s="8">
        <f>149.19</f>
        <v>149.19</v>
      </c>
      <c r="F27" s="8">
        <f>149.19</f>
        <v>149.19</v>
      </c>
      <c r="G27" s="12" t="s">
        <v>550</v>
      </c>
      <c r="H27" s="13">
        <f>149.19</f>
        <v>149.19</v>
      </c>
    </row>
    <row r="28" spans="1:8" ht="36" x14ac:dyDescent="0.25">
      <c r="A28" s="48"/>
      <c r="B28" s="72"/>
      <c r="C28" s="9" t="s">
        <v>553</v>
      </c>
      <c r="D28" s="7" t="s">
        <v>734</v>
      </c>
      <c r="E28" s="8">
        <f>0</f>
        <v>0</v>
      </c>
      <c r="F28" s="8">
        <f>0</f>
        <v>0</v>
      </c>
      <c r="G28" s="12" t="s">
        <v>10</v>
      </c>
      <c r="H28" s="13">
        <f>0</f>
        <v>0</v>
      </c>
    </row>
    <row r="29" spans="1:8" ht="36" x14ac:dyDescent="0.25">
      <c r="A29" s="48"/>
      <c r="B29" s="72"/>
      <c r="C29" s="9" t="s">
        <v>679</v>
      </c>
      <c r="D29" s="7" t="s">
        <v>735</v>
      </c>
      <c r="E29" s="8">
        <f>699.75</f>
        <v>699.75</v>
      </c>
      <c r="F29" s="8">
        <f>699.75</f>
        <v>699.75</v>
      </c>
      <c r="G29" s="12" t="s">
        <v>550</v>
      </c>
      <c r="H29" s="13">
        <f>699.75</f>
        <v>699.75</v>
      </c>
    </row>
    <row r="30" spans="1:8" ht="36" x14ac:dyDescent="0.25">
      <c r="A30" s="48"/>
      <c r="B30" s="72"/>
      <c r="C30" s="5" t="s">
        <v>29</v>
      </c>
      <c r="D30" s="5" t="s">
        <v>466</v>
      </c>
      <c r="E30" s="6">
        <f>E31</f>
        <v>101885.45999999999</v>
      </c>
      <c r="F30" s="6">
        <f>F31</f>
        <v>101884.87</v>
      </c>
      <c r="G30" s="10" t="s">
        <v>550</v>
      </c>
      <c r="H30" s="11">
        <f>H31</f>
        <v>101884.87</v>
      </c>
    </row>
    <row r="31" spans="1:8" x14ac:dyDescent="0.25">
      <c r="A31" s="48"/>
      <c r="B31" s="72"/>
      <c r="C31" s="7" t="s">
        <v>30</v>
      </c>
      <c r="D31" s="7" t="s">
        <v>31</v>
      </c>
      <c r="E31" s="8">
        <f>E32+E33+E34</f>
        <v>101885.45999999999</v>
      </c>
      <c r="F31" s="8">
        <f>F32+F33+F34</f>
        <v>101884.87</v>
      </c>
      <c r="G31" s="12" t="s">
        <v>550</v>
      </c>
      <c r="H31" s="13">
        <f>H32+H33+H34</f>
        <v>101884.87</v>
      </c>
    </row>
    <row r="32" spans="1:8" ht="24" x14ac:dyDescent="0.25">
      <c r="A32" s="48"/>
      <c r="B32" s="72"/>
      <c r="C32" s="9" t="s">
        <v>535</v>
      </c>
      <c r="D32" s="7" t="s">
        <v>32</v>
      </c>
      <c r="E32" s="8">
        <f>60281.49</f>
        <v>60281.49</v>
      </c>
      <c r="F32" s="8">
        <f>60281.49</f>
        <v>60281.49</v>
      </c>
      <c r="G32" s="12" t="s">
        <v>550</v>
      </c>
      <c r="H32" s="13">
        <f>60281.49</f>
        <v>60281.49</v>
      </c>
    </row>
    <row r="33" spans="1:8" ht="24" x14ac:dyDescent="0.25">
      <c r="A33" s="48"/>
      <c r="B33" s="72"/>
      <c r="C33" s="9" t="s">
        <v>536</v>
      </c>
      <c r="D33" s="7" t="s">
        <v>33</v>
      </c>
      <c r="E33" s="8">
        <f>349</f>
        <v>349</v>
      </c>
      <c r="F33" s="8">
        <f>349</f>
        <v>349</v>
      </c>
      <c r="G33" s="12" t="s">
        <v>550</v>
      </c>
      <c r="H33" s="13">
        <f>349</f>
        <v>349</v>
      </c>
    </row>
    <row r="34" spans="1:8" x14ac:dyDescent="0.25">
      <c r="A34" s="48"/>
      <c r="B34" s="72"/>
      <c r="C34" s="9" t="s">
        <v>537</v>
      </c>
      <c r="D34" s="7" t="s">
        <v>34</v>
      </c>
      <c r="E34" s="8">
        <f>41254.97</f>
        <v>41254.97</v>
      </c>
      <c r="F34" s="8">
        <f>41254.38</f>
        <v>41254.379999999997</v>
      </c>
      <c r="G34" s="12" t="s">
        <v>550</v>
      </c>
      <c r="H34" s="13">
        <f>41254.38</f>
        <v>41254.379999999997</v>
      </c>
    </row>
    <row r="35" spans="1:8" ht="36" x14ac:dyDescent="0.25">
      <c r="A35" s="48"/>
      <c r="B35" s="72"/>
      <c r="C35" s="5" t="s">
        <v>13</v>
      </c>
      <c r="D35" s="5" t="s">
        <v>467</v>
      </c>
      <c r="E35" s="6">
        <f>E36</f>
        <v>0</v>
      </c>
      <c r="F35" s="6">
        <f>F36</f>
        <v>0</v>
      </c>
      <c r="G35" s="10" t="s">
        <v>10</v>
      </c>
      <c r="H35" s="11">
        <f>H36</f>
        <v>0</v>
      </c>
    </row>
    <row r="36" spans="1:8" ht="24" x14ac:dyDescent="0.25">
      <c r="A36" s="48"/>
      <c r="B36" s="72"/>
      <c r="C36" s="7" t="s">
        <v>451</v>
      </c>
      <c r="D36" s="7" t="s">
        <v>85</v>
      </c>
      <c r="E36" s="8">
        <f>E37</f>
        <v>0</v>
      </c>
      <c r="F36" s="8">
        <f>F37</f>
        <v>0</v>
      </c>
      <c r="G36" s="12" t="s">
        <v>10</v>
      </c>
      <c r="H36" s="13">
        <f>H37</f>
        <v>0</v>
      </c>
    </row>
    <row r="37" spans="1:8" ht="36" x14ac:dyDescent="0.25">
      <c r="A37" s="48"/>
      <c r="B37" s="72"/>
      <c r="C37" s="9" t="s">
        <v>538</v>
      </c>
      <c r="D37" s="7" t="s">
        <v>468</v>
      </c>
      <c r="E37" s="8">
        <f>0</f>
        <v>0</v>
      </c>
      <c r="F37" s="8">
        <f>0</f>
        <v>0</v>
      </c>
      <c r="G37" s="12" t="s">
        <v>10</v>
      </c>
      <c r="H37" s="13">
        <f>0</f>
        <v>0</v>
      </c>
    </row>
    <row r="38" spans="1:8" ht="15.6" customHeight="1" x14ac:dyDescent="0.25">
      <c r="A38" s="48"/>
      <c r="B38" s="72"/>
      <c r="C38" s="5" t="s">
        <v>177</v>
      </c>
      <c r="D38" s="5" t="s">
        <v>469</v>
      </c>
      <c r="E38" s="6">
        <f>E39</f>
        <v>75138.5</v>
      </c>
      <c r="F38" s="6">
        <f>F39</f>
        <v>75138.5</v>
      </c>
      <c r="G38" s="10" t="s">
        <v>550</v>
      </c>
      <c r="H38" s="11">
        <f>H39</f>
        <v>75138.5</v>
      </c>
    </row>
    <row r="39" spans="1:8" ht="24" x14ac:dyDescent="0.25">
      <c r="A39" s="48"/>
      <c r="B39" s="72"/>
      <c r="C39" s="7" t="s">
        <v>21</v>
      </c>
      <c r="D39" s="7" t="s">
        <v>389</v>
      </c>
      <c r="E39" s="8">
        <f>E40</f>
        <v>75138.5</v>
      </c>
      <c r="F39" s="8">
        <f>F40</f>
        <v>75138.5</v>
      </c>
      <c r="G39" s="12" t="s">
        <v>550</v>
      </c>
      <c r="H39" s="13">
        <f>H40</f>
        <v>75138.5</v>
      </c>
    </row>
    <row r="40" spans="1:8" ht="24" x14ac:dyDescent="0.25">
      <c r="A40" s="48"/>
      <c r="B40" s="72"/>
      <c r="C40" s="9" t="s">
        <v>525</v>
      </c>
      <c r="D40" s="7" t="s">
        <v>470</v>
      </c>
      <c r="E40" s="8">
        <f>E41+E42+E43</f>
        <v>75138.5</v>
      </c>
      <c r="F40" s="8">
        <f>F41+F42+F43</f>
        <v>75138.5</v>
      </c>
      <c r="G40" s="12" t="s">
        <v>550</v>
      </c>
      <c r="H40" s="13">
        <f>H41+H42+H43</f>
        <v>75138.5</v>
      </c>
    </row>
    <row r="41" spans="1:8" ht="36" x14ac:dyDescent="0.25">
      <c r="A41" s="48"/>
      <c r="B41" s="72"/>
      <c r="C41" s="9" t="s">
        <v>526</v>
      </c>
      <c r="D41" s="7" t="s">
        <v>471</v>
      </c>
      <c r="E41" s="8">
        <f>73187.82</f>
        <v>73187.820000000007</v>
      </c>
      <c r="F41" s="8">
        <f>73187.82</f>
        <v>73187.820000000007</v>
      </c>
      <c r="G41" s="12" t="s">
        <v>550</v>
      </c>
      <c r="H41" s="13">
        <f>73187.82</f>
        <v>73187.820000000007</v>
      </c>
    </row>
    <row r="42" spans="1:8" ht="24" x14ac:dyDescent="0.25">
      <c r="A42" s="48"/>
      <c r="B42" s="72"/>
      <c r="C42" s="9" t="s">
        <v>527</v>
      </c>
      <c r="D42" s="7" t="s">
        <v>390</v>
      </c>
      <c r="E42" s="8">
        <f>214.28</f>
        <v>214.28</v>
      </c>
      <c r="F42" s="8">
        <f>214.28</f>
        <v>214.28</v>
      </c>
      <c r="G42" s="12" t="s">
        <v>550</v>
      </c>
      <c r="H42" s="13">
        <f>214.28</f>
        <v>214.28</v>
      </c>
    </row>
    <row r="43" spans="1:8" x14ac:dyDescent="0.25">
      <c r="A43" s="48"/>
      <c r="B43" s="72"/>
      <c r="C43" s="9" t="s">
        <v>528</v>
      </c>
      <c r="D43" s="7" t="s">
        <v>391</v>
      </c>
      <c r="E43" s="8">
        <f>1736.4</f>
        <v>1736.4</v>
      </c>
      <c r="F43" s="8">
        <f>1736.4</f>
        <v>1736.4</v>
      </c>
      <c r="G43" s="12" t="s">
        <v>550</v>
      </c>
      <c r="H43" s="13">
        <f>1736.4</f>
        <v>1736.4</v>
      </c>
    </row>
    <row r="44" spans="1:8" ht="16.899999999999999" customHeight="1" x14ac:dyDescent="0.25">
      <c r="A44" s="48"/>
      <c r="B44" s="72"/>
      <c r="C44" s="5" t="s">
        <v>35</v>
      </c>
      <c r="D44" s="5" t="s">
        <v>472</v>
      </c>
      <c r="E44" s="6">
        <f>E45+E47</f>
        <v>2431</v>
      </c>
      <c r="F44" s="6">
        <f>F45+F47</f>
        <v>2431</v>
      </c>
      <c r="G44" s="10" t="s">
        <v>550</v>
      </c>
      <c r="H44" s="11">
        <f>H45+H47</f>
        <v>2431</v>
      </c>
    </row>
    <row r="45" spans="1:8" ht="24" x14ac:dyDescent="0.25">
      <c r="A45" s="48"/>
      <c r="B45" s="72"/>
      <c r="C45" s="7" t="s">
        <v>21</v>
      </c>
      <c r="D45" s="7" t="s">
        <v>392</v>
      </c>
      <c r="E45" s="8">
        <f>E46</f>
        <v>0</v>
      </c>
      <c r="F45" s="8">
        <f>F46</f>
        <v>0</v>
      </c>
      <c r="G45" s="12" t="s">
        <v>10</v>
      </c>
      <c r="H45" s="13">
        <f>H46</f>
        <v>0</v>
      </c>
    </row>
    <row r="46" spans="1:8" ht="24" x14ac:dyDescent="0.25">
      <c r="A46" s="48"/>
      <c r="B46" s="72"/>
      <c r="C46" s="9" t="s">
        <v>539</v>
      </c>
      <c r="D46" s="7" t="s">
        <v>473</v>
      </c>
      <c r="E46" s="8">
        <f>0</f>
        <v>0</v>
      </c>
      <c r="F46" s="8">
        <f>0</f>
        <v>0</v>
      </c>
      <c r="G46" s="12" t="s">
        <v>10</v>
      </c>
      <c r="H46" s="13">
        <f>0</f>
        <v>0</v>
      </c>
    </row>
    <row r="47" spans="1:8" ht="36" x14ac:dyDescent="0.25">
      <c r="A47" s="48"/>
      <c r="B47" s="72"/>
      <c r="C47" s="7" t="s">
        <v>36</v>
      </c>
      <c r="D47" s="7" t="s">
        <v>37</v>
      </c>
      <c r="E47" s="8">
        <f>E48</f>
        <v>2431</v>
      </c>
      <c r="F47" s="8">
        <f>F48</f>
        <v>2431</v>
      </c>
      <c r="G47" s="12" t="s">
        <v>550</v>
      </c>
      <c r="H47" s="13">
        <f>H48</f>
        <v>2431</v>
      </c>
    </row>
    <row r="48" spans="1:8" ht="48" x14ac:dyDescent="0.25">
      <c r="A48" s="48"/>
      <c r="B48" s="72"/>
      <c r="C48" s="9" t="s">
        <v>540</v>
      </c>
      <c r="D48" s="7" t="s">
        <v>38</v>
      </c>
      <c r="E48" s="8">
        <f>2431</f>
        <v>2431</v>
      </c>
      <c r="F48" s="8">
        <f>2431</f>
        <v>2431</v>
      </c>
      <c r="G48" s="12" t="s">
        <v>550</v>
      </c>
      <c r="H48" s="13">
        <f>2431</f>
        <v>2431</v>
      </c>
    </row>
    <row r="49" spans="1:8" ht="15.6" customHeight="1" x14ac:dyDescent="0.25">
      <c r="A49" s="48"/>
      <c r="B49" s="72"/>
      <c r="C49" s="5" t="s">
        <v>39</v>
      </c>
      <c r="D49" s="5" t="s">
        <v>40</v>
      </c>
      <c r="E49" s="6">
        <f>E50</f>
        <v>5940.49</v>
      </c>
      <c r="F49" s="6">
        <f>F50</f>
        <v>5928.43</v>
      </c>
      <c r="G49" s="10" t="s">
        <v>736</v>
      </c>
      <c r="H49" s="11">
        <f>H50</f>
        <v>5928.43</v>
      </c>
    </row>
    <row r="50" spans="1:8" ht="24" x14ac:dyDescent="0.25">
      <c r="A50" s="48"/>
      <c r="B50" s="72"/>
      <c r="C50" s="7" t="s">
        <v>21</v>
      </c>
      <c r="D50" s="7" t="s">
        <v>41</v>
      </c>
      <c r="E50" s="8">
        <f>E51</f>
        <v>5940.49</v>
      </c>
      <c r="F50" s="8">
        <f>F51</f>
        <v>5928.43</v>
      </c>
      <c r="G50" s="12" t="s">
        <v>736</v>
      </c>
      <c r="H50" s="13">
        <f>H51</f>
        <v>5928.43</v>
      </c>
    </row>
    <row r="51" spans="1:8" ht="24" x14ac:dyDescent="0.25">
      <c r="A51" s="48"/>
      <c r="B51" s="72"/>
      <c r="C51" s="9" t="s">
        <v>525</v>
      </c>
      <c r="D51" s="7" t="s">
        <v>42</v>
      </c>
      <c r="E51" s="8">
        <f>5940.49</f>
        <v>5940.49</v>
      </c>
      <c r="F51" s="8">
        <f>5928.43</f>
        <v>5928.43</v>
      </c>
      <c r="G51" s="12" t="s">
        <v>736</v>
      </c>
      <c r="H51" s="13">
        <f>5928.43</f>
        <v>5928.43</v>
      </c>
    </row>
    <row r="52" spans="1:8" ht="24" x14ac:dyDescent="0.25">
      <c r="A52" s="48"/>
      <c r="B52" s="72"/>
      <c r="C52" s="5" t="s">
        <v>43</v>
      </c>
      <c r="D52" s="5" t="s">
        <v>44</v>
      </c>
      <c r="E52" s="6">
        <f>E53</f>
        <v>0</v>
      </c>
      <c r="F52" s="6">
        <f>F53</f>
        <v>0</v>
      </c>
      <c r="G52" s="10" t="s">
        <v>10</v>
      </c>
      <c r="H52" s="11">
        <f>H53</f>
        <v>0</v>
      </c>
    </row>
    <row r="53" spans="1:8" ht="24" x14ac:dyDescent="0.25">
      <c r="A53" s="48"/>
      <c r="B53" s="72"/>
      <c r="C53" s="7" t="s">
        <v>21</v>
      </c>
      <c r="D53" s="7" t="s">
        <v>737</v>
      </c>
      <c r="E53" s="8">
        <f>E54</f>
        <v>0</v>
      </c>
      <c r="F53" s="8">
        <f>F54</f>
        <v>0</v>
      </c>
      <c r="G53" s="12" t="s">
        <v>10</v>
      </c>
      <c r="H53" s="13">
        <f>H54</f>
        <v>0</v>
      </c>
    </row>
    <row r="54" spans="1:8" ht="24" x14ac:dyDescent="0.25">
      <c r="A54" s="48"/>
      <c r="B54" s="72"/>
      <c r="C54" s="9" t="s">
        <v>529</v>
      </c>
      <c r="D54" s="7" t="s">
        <v>393</v>
      </c>
      <c r="E54" s="8">
        <f>0</f>
        <v>0</v>
      </c>
      <c r="F54" s="8">
        <f>0</f>
        <v>0</v>
      </c>
      <c r="G54" s="12" t="s">
        <v>10</v>
      </c>
      <c r="H54" s="13">
        <f>0</f>
        <v>0</v>
      </c>
    </row>
    <row r="55" spans="1:8" ht="16.149999999999999" customHeight="1" thickBot="1" x14ac:dyDescent="0.3">
      <c r="A55" s="62" t="s">
        <v>18</v>
      </c>
      <c r="B55" s="63"/>
      <c r="C55" s="63"/>
      <c r="D55" s="64"/>
      <c r="E55" s="32">
        <f>E13+E20+E30+E35+E38+E44+E49+E52</f>
        <v>228375.27999999997</v>
      </c>
      <c r="F55" s="29">
        <f>F13+F20+F30+F35+F38+F44+F49+F52</f>
        <v>228362.63</v>
      </c>
      <c r="G55" s="30" t="s">
        <v>738</v>
      </c>
      <c r="H55" s="31">
        <f>H13+H20+H30+H35+H38+H44+H49+H52</f>
        <v>228362.63</v>
      </c>
    </row>
    <row r="56" spans="1:8" ht="18" customHeight="1" x14ac:dyDescent="0.25">
      <c r="A56" s="73">
        <v>3</v>
      </c>
      <c r="B56" s="74" t="s">
        <v>45</v>
      </c>
      <c r="C56" s="5" t="s">
        <v>8</v>
      </c>
      <c r="D56" s="5" t="s">
        <v>46</v>
      </c>
      <c r="E56" s="15">
        <f>E57+E61+E70</f>
        <v>867104.07</v>
      </c>
      <c r="F56" s="15">
        <f>F57+F61+F70</f>
        <v>857473.40000000014</v>
      </c>
      <c r="G56" s="16" t="s">
        <v>739</v>
      </c>
      <c r="H56" s="17">
        <f>H57+H61+H70</f>
        <v>857473.40000000014</v>
      </c>
    </row>
    <row r="57" spans="1:8" ht="24" x14ac:dyDescent="0.25">
      <c r="A57" s="50"/>
      <c r="B57" s="75"/>
      <c r="C57" s="7" t="s">
        <v>21</v>
      </c>
      <c r="D57" s="7" t="s">
        <v>510</v>
      </c>
      <c r="E57" s="8">
        <f>E58+E59+E60</f>
        <v>0</v>
      </c>
      <c r="F57" s="8">
        <f>F58+F59+F60</f>
        <v>0</v>
      </c>
      <c r="G57" s="12" t="s">
        <v>10</v>
      </c>
      <c r="H57" s="13">
        <f>H58+H59+H60</f>
        <v>0</v>
      </c>
    </row>
    <row r="58" spans="1:8" ht="36" x14ac:dyDescent="0.25">
      <c r="A58" s="50"/>
      <c r="B58" s="75"/>
      <c r="C58" s="9" t="s">
        <v>525</v>
      </c>
      <c r="D58" s="7" t="s">
        <v>48</v>
      </c>
      <c r="E58" s="8">
        <f>0</f>
        <v>0</v>
      </c>
      <c r="F58" s="8">
        <f>0</f>
        <v>0</v>
      </c>
      <c r="G58" s="12" t="s">
        <v>10</v>
      </c>
      <c r="H58" s="13">
        <f>0</f>
        <v>0</v>
      </c>
    </row>
    <row r="59" spans="1:8" ht="48" x14ac:dyDescent="0.25">
      <c r="A59" s="50"/>
      <c r="B59" s="75"/>
      <c r="C59" s="9" t="s">
        <v>529</v>
      </c>
      <c r="D59" s="7" t="s">
        <v>49</v>
      </c>
      <c r="E59" s="8">
        <f>0</f>
        <v>0</v>
      </c>
      <c r="F59" s="8">
        <f>0</f>
        <v>0</v>
      </c>
      <c r="G59" s="12" t="s">
        <v>10</v>
      </c>
      <c r="H59" s="13">
        <f>0</f>
        <v>0</v>
      </c>
    </row>
    <row r="60" spans="1:8" ht="24" x14ac:dyDescent="0.25">
      <c r="A60" s="50"/>
      <c r="B60" s="75"/>
      <c r="C60" s="9" t="s">
        <v>533</v>
      </c>
      <c r="D60" s="7" t="s">
        <v>50</v>
      </c>
      <c r="E60" s="8">
        <f>0</f>
        <v>0</v>
      </c>
      <c r="F60" s="8">
        <f>0</f>
        <v>0</v>
      </c>
      <c r="G60" s="12" t="s">
        <v>10</v>
      </c>
      <c r="H60" s="13">
        <f>0</f>
        <v>0</v>
      </c>
    </row>
    <row r="61" spans="1:8" ht="24" x14ac:dyDescent="0.25">
      <c r="A61" s="50"/>
      <c r="B61" s="75"/>
      <c r="C61" s="7" t="s">
        <v>36</v>
      </c>
      <c r="D61" s="7" t="s">
        <v>51</v>
      </c>
      <c r="E61" s="8">
        <f>E62+E63+E64+E65+E66+E67+E68+E69</f>
        <v>841266.5</v>
      </c>
      <c r="F61" s="8">
        <f>F62+F63+F64+F65+F66+F67+F68+F69</f>
        <v>831636.85000000009</v>
      </c>
      <c r="G61" s="12" t="s">
        <v>740</v>
      </c>
      <c r="H61" s="13">
        <f>H62+H63+H64+H65+H66+H67+H68+H69</f>
        <v>831636.85000000009</v>
      </c>
    </row>
    <row r="62" spans="1:8" ht="24" x14ac:dyDescent="0.25">
      <c r="A62" s="50"/>
      <c r="B62" s="75"/>
      <c r="C62" s="9" t="s">
        <v>540</v>
      </c>
      <c r="D62" s="7" t="s">
        <v>52</v>
      </c>
      <c r="E62" s="8">
        <v>0</v>
      </c>
      <c r="F62" s="8">
        <v>0</v>
      </c>
      <c r="G62" s="12" t="s">
        <v>10</v>
      </c>
      <c r="H62" s="13">
        <v>0</v>
      </c>
    </row>
    <row r="63" spans="1:8" ht="84" x14ac:dyDescent="0.25">
      <c r="A63" s="50"/>
      <c r="B63" s="75"/>
      <c r="C63" s="9" t="s">
        <v>541</v>
      </c>
      <c r="D63" s="7" t="s">
        <v>53</v>
      </c>
      <c r="E63" s="8">
        <f>599975</f>
        <v>599975</v>
      </c>
      <c r="F63" s="8">
        <f>596815.38</f>
        <v>596815.38</v>
      </c>
      <c r="G63" s="12" t="s">
        <v>741</v>
      </c>
      <c r="H63" s="13">
        <f>596815.38</f>
        <v>596815.38</v>
      </c>
    </row>
    <row r="64" spans="1:8" ht="72" x14ac:dyDescent="0.25">
      <c r="A64" s="50"/>
      <c r="B64" s="75"/>
      <c r="C64" s="9" t="s">
        <v>542</v>
      </c>
      <c r="D64" s="18" t="s">
        <v>54</v>
      </c>
      <c r="E64" s="8">
        <f>24722</f>
        <v>24722</v>
      </c>
      <c r="F64" s="8">
        <f>24178</f>
        <v>24178</v>
      </c>
      <c r="G64" s="12" t="s">
        <v>621</v>
      </c>
      <c r="H64" s="13">
        <f>24178</f>
        <v>24178</v>
      </c>
    </row>
    <row r="65" spans="1:8" ht="48" x14ac:dyDescent="0.25">
      <c r="A65" s="50"/>
      <c r="B65" s="75"/>
      <c r="C65" s="9" t="s">
        <v>543</v>
      </c>
      <c r="D65" s="7" t="s">
        <v>55</v>
      </c>
      <c r="E65" s="8">
        <f>27960</f>
        <v>27960</v>
      </c>
      <c r="F65" s="8">
        <f>25021.66</f>
        <v>25021.66</v>
      </c>
      <c r="G65" s="12" t="s">
        <v>742</v>
      </c>
      <c r="H65" s="13">
        <f>25021.66</f>
        <v>25021.66</v>
      </c>
    </row>
    <row r="66" spans="1:8" ht="24" x14ac:dyDescent="0.25">
      <c r="A66" s="50"/>
      <c r="B66" s="75"/>
      <c r="C66" s="9" t="s">
        <v>544</v>
      </c>
      <c r="D66" s="7" t="s">
        <v>56</v>
      </c>
      <c r="E66" s="8">
        <f>141644.94</f>
        <v>141644.94</v>
      </c>
      <c r="F66" s="8">
        <f>138796.13</f>
        <v>138796.13</v>
      </c>
      <c r="G66" s="12" t="s">
        <v>743</v>
      </c>
      <c r="H66" s="13">
        <f>138796.13</f>
        <v>138796.13</v>
      </c>
    </row>
    <row r="67" spans="1:8" ht="24" x14ac:dyDescent="0.25">
      <c r="A67" s="50"/>
      <c r="B67" s="75"/>
      <c r="C67" s="9" t="s">
        <v>545</v>
      </c>
      <c r="D67" s="7" t="s">
        <v>57</v>
      </c>
      <c r="E67" s="8">
        <f>19372.42</f>
        <v>19372.419999999998</v>
      </c>
      <c r="F67" s="8">
        <f>19233.54</f>
        <v>19233.54</v>
      </c>
      <c r="G67" s="12" t="s">
        <v>744</v>
      </c>
      <c r="H67" s="13">
        <f>19233.54</f>
        <v>19233.54</v>
      </c>
    </row>
    <row r="68" spans="1:8" ht="24" x14ac:dyDescent="0.25">
      <c r="A68" s="50"/>
      <c r="B68" s="75"/>
      <c r="C68" s="9" t="s">
        <v>546</v>
      </c>
      <c r="D68" s="7" t="s">
        <v>58</v>
      </c>
      <c r="E68" s="8">
        <f>27592.14</f>
        <v>27592.14</v>
      </c>
      <c r="F68" s="8">
        <f>27592.14</f>
        <v>27592.14</v>
      </c>
      <c r="G68" s="12" t="s">
        <v>550</v>
      </c>
      <c r="H68" s="13">
        <f>27592.14</f>
        <v>27592.14</v>
      </c>
    </row>
    <row r="69" spans="1:8" ht="24" x14ac:dyDescent="0.25">
      <c r="A69" s="50"/>
      <c r="B69" s="75"/>
      <c r="C69" s="9" t="s">
        <v>547</v>
      </c>
      <c r="D69" s="7" t="s">
        <v>59</v>
      </c>
      <c r="E69" s="8">
        <f>0</f>
        <v>0</v>
      </c>
      <c r="F69" s="8">
        <f>0</f>
        <v>0</v>
      </c>
      <c r="G69" s="12" t="s">
        <v>10</v>
      </c>
      <c r="H69" s="13">
        <f>0</f>
        <v>0</v>
      </c>
    </row>
    <row r="70" spans="1:8" x14ac:dyDescent="0.25">
      <c r="A70" s="50"/>
      <c r="B70" s="75"/>
      <c r="C70" s="7" t="s">
        <v>394</v>
      </c>
      <c r="D70" s="7" t="s">
        <v>511</v>
      </c>
      <c r="E70" s="8">
        <f>E71+E72</f>
        <v>25837.57</v>
      </c>
      <c r="F70" s="8">
        <f>F71+F72</f>
        <v>25836.55</v>
      </c>
      <c r="G70" s="12" t="s">
        <v>550</v>
      </c>
      <c r="H70" s="13">
        <f>H71+H72</f>
        <v>25836.55</v>
      </c>
    </row>
    <row r="71" spans="1:8" ht="48" x14ac:dyDescent="0.25">
      <c r="A71" s="50"/>
      <c r="B71" s="75"/>
      <c r="C71" s="9" t="s">
        <v>548</v>
      </c>
      <c r="D71" s="7" t="s">
        <v>60</v>
      </c>
      <c r="E71" s="8">
        <f>5020+17693</f>
        <v>22713</v>
      </c>
      <c r="F71" s="8">
        <f>5020+17693</f>
        <v>22713</v>
      </c>
      <c r="G71" s="12" t="s">
        <v>550</v>
      </c>
      <c r="H71" s="13">
        <f>5020+17693</f>
        <v>22713</v>
      </c>
    </row>
    <row r="72" spans="1:8" ht="84" x14ac:dyDescent="0.25">
      <c r="A72" s="50"/>
      <c r="B72" s="75"/>
      <c r="C72" s="9" t="s">
        <v>549</v>
      </c>
      <c r="D72" s="7" t="s">
        <v>512</v>
      </c>
      <c r="E72" s="8">
        <f>2313.75+772.25+38.57</f>
        <v>3124.57</v>
      </c>
      <c r="F72" s="8">
        <f>2313.74+771.25+38.56</f>
        <v>3123.5499999999997</v>
      </c>
      <c r="G72" s="12" t="s">
        <v>550</v>
      </c>
      <c r="H72" s="13">
        <f>2313.74+771.25+38.56</f>
        <v>3123.5499999999997</v>
      </c>
    </row>
    <row r="73" spans="1:8" ht="16.149999999999999" customHeight="1" x14ac:dyDescent="0.25">
      <c r="A73" s="50"/>
      <c r="B73" s="75"/>
      <c r="C73" s="5" t="s">
        <v>20</v>
      </c>
      <c r="D73" s="5" t="s">
        <v>61</v>
      </c>
      <c r="E73" s="6">
        <f>E74+E84+E85+E94+E95+E96</f>
        <v>929262.62</v>
      </c>
      <c r="F73" s="6">
        <f>F74+F84+F85+F94+F95+F96</f>
        <v>910176.03</v>
      </c>
      <c r="G73" s="10" t="s">
        <v>745</v>
      </c>
      <c r="H73" s="11">
        <f>H74+H84+H85+H94+H95+H96</f>
        <v>910176.03</v>
      </c>
    </row>
    <row r="74" spans="1:8" x14ac:dyDescent="0.25">
      <c r="A74" s="50"/>
      <c r="B74" s="75"/>
      <c r="C74" s="7" t="s">
        <v>21</v>
      </c>
      <c r="D74" s="7" t="s">
        <v>62</v>
      </c>
      <c r="E74" s="8">
        <f>E75+E76+E77+E78+E79+E80+E81+E82+E83</f>
        <v>841729.26</v>
      </c>
      <c r="F74" s="8">
        <f>F75+F76+F77+F78+F79+F80+F81+F82+F83</f>
        <v>831308.18</v>
      </c>
      <c r="G74" s="12" t="s">
        <v>740</v>
      </c>
      <c r="H74" s="13">
        <f>H75+H76+H77+H78+H79+H80+H81+H82+H83</f>
        <v>831308.18</v>
      </c>
    </row>
    <row r="75" spans="1:8" ht="108" x14ac:dyDescent="0.25">
      <c r="A75" s="50"/>
      <c r="B75" s="75"/>
      <c r="C75" s="9" t="s">
        <v>525</v>
      </c>
      <c r="D75" s="18" t="s">
        <v>63</v>
      </c>
      <c r="E75" s="8">
        <f>679344</f>
        <v>679344</v>
      </c>
      <c r="F75" s="8">
        <f>674380.92</f>
        <v>674380.92</v>
      </c>
      <c r="G75" s="12" t="s">
        <v>744</v>
      </c>
      <c r="H75" s="13">
        <f>674380.92</f>
        <v>674380.92</v>
      </c>
    </row>
    <row r="76" spans="1:8" ht="108" x14ac:dyDescent="0.25">
      <c r="A76" s="50"/>
      <c r="B76" s="75"/>
      <c r="C76" s="9" t="s">
        <v>529</v>
      </c>
      <c r="D76" s="7" t="s">
        <v>64</v>
      </c>
      <c r="E76" s="8">
        <f>7339</f>
        <v>7339</v>
      </c>
      <c r="F76" s="8">
        <f>5511.53</f>
        <v>5511.53</v>
      </c>
      <c r="G76" s="12" t="s">
        <v>746</v>
      </c>
      <c r="H76" s="13">
        <f>5511.53</f>
        <v>5511.53</v>
      </c>
    </row>
    <row r="77" spans="1:8" ht="24" x14ac:dyDescent="0.25">
      <c r="A77" s="50"/>
      <c r="B77" s="75"/>
      <c r="C77" s="9" t="s">
        <v>539</v>
      </c>
      <c r="D77" s="7" t="s">
        <v>65</v>
      </c>
      <c r="E77" s="8">
        <f>85938.34</f>
        <v>85938.34</v>
      </c>
      <c r="F77" s="8">
        <f>84716.63</f>
        <v>84716.63</v>
      </c>
      <c r="G77" s="12" t="s">
        <v>747</v>
      </c>
      <c r="H77" s="13">
        <f>84716.63</f>
        <v>84716.63</v>
      </c>
    </row>
    <row r="78" spans="1:8" ht="24" x14ac:dyDescent="0.25">
      <c r="A78" s="50"/>
      <c r="B78" s="75"/>
      <c r="C78" s="9" t="s">
        <v>533</v>
      </c>
      <c r="D78" s="7" t="s">
        <v>66</v>
      </c>
      <c r="E78" s="8">
        <f>9036.56</f>
        <v>9036.56</v>
      </c>
      <c r="F78" s="8">
        <f>8390.12</f>
        <v>8390.1200000000008</v>
      </c>
      <c r="G78" s="12" t="s">
        <v>748</v>
      </c>
      <c r="H78" s="13">
        <f>8390.12</f>
        <v>8390.1200000000008</v>
      </c>
    </row>
    <row r="79" spans="1:8" ht="24" x14ac:dyDescent="0.25">
      <c r="A79" s="50"/>
      <c r="B79" s="75"/>
      <c r="C79" s="9" t="s">
        <v>534</v>
      </c>
      <c r="D79" s="7" t="s">
        <v>67</v>
      </c>
      <c r="E79" s="8">
        <f>16573.99</f>
        <v>16573.990000000002</v>
      </c>
      <c r="F79" s="8">
        <f>16573.92</f>
        <v>16573.919999999998</v>
      </c>
      <c r="G79" s="12" t="s">
        <v>550</v>
      </c>
      <c r="H79" s="13">
        <f>16573.92</f>
        <v>16573.919999999998</v>
      </c>
    </row>
    <row r="80" spans="1:8" ht="24" x14ac:dyDescent="0.25">
      <c r="A80" s="50"/>
      <c r="B80" s="75"/>
      <c r="C80" s="9" t="s">
        <v>552</v>
      </c>
      <c r="D80" s="7" t="s">
        <v>68</v>
      </c>
      <c r="E80" s="8">
        <f>0</f>
        <v>0</v>
      </c>
      <c r="F80" s="8">
        <f>0</f>
        <v>0</v>
      </c>
      <c r="G80" s="12" t="s">
        <v>10</v>
      </c>
      <c r="H80" s="13">
        <f>0</f>
        <v>0</v>
      </c>
    </row>
    <row r="81" spans="1:8" x14ac:dyDescent="0.25">
      <c r="A81" s="50"/>
      <c r="B81" s="75"/>
      <c r="C81" s="9" t="s">
        <v>553</v>
      </c>
      <c r="D81" s="7" t="s">
        <v>59</v>
      </c>
      <c r="E81" s="8">
        <f>16546.37</f>
        <v>16546.37</v>
      </c>
      <c r="F81" s="8">
        <f>16530.87</f>
        <v>16530.87</v>
      </c>
      <c r="G81" s="12" t="s">
        <v>749</v>
      </c>
      <c r="H81" s="13">
        <f>16530.87</f>
        <v>16530.87</v>
      </c>
    </row>
    <row r="82" spans="1:8" ht="24" x14ac:dyDescent="0.25">
      <c r="A82" s="50"/>
      <c r="B82" s="75"/>
      <c r="C82" s="9" t="s">
        <v>554</v>
      </c>
      <c r="D82" s="7" t="s">
        <v>69</v>
      </c>
      <c r="E82" s="8">
        <f>0</f>
        <v>0</v>
      </c>
      <c r="F82" s="8">
        <f>0</f>
        <v>0</v>
      </c>
      <c r="G82" s="12" t="s">
        <v>10</v>
      </c>
      <c r="H82" s="13">
        <f>0</f>
        <v>0</v>
      </c>
    </row>
    <row r="83" spans="1:8" ht="132" x14ac:dyDescent="0.25">
      <c r="A83" s="50"/>
      <c r="B83" s="75"/>
      <c r="C83" s="9" t="s">
        <v>555</v>
      </c>
      <c r="D83" s="7" t="s">
        <v>70</v>
      </c>
      <c r="E83" s="8">
        <f>26951</f>
        <v>26951</v>
      </c>
      <c r="F83" s="8">
        <f>25204.19</f>
        <v>25204.19</v>
      </c>
      <c r="G83" s="12" t="s">
        <v>750</v>
      </c>
      <c r="H83" s="13">
        <f>25204.19</f>
        <v>25204.19</v>
      </c>
    </row>
    <row r="84" spans="1:8" ht="24" x14ac:dyDescent="0.25">
      <c r="A84" s="50"/>
      <c r="B84" s="75"/>
      <c r="C84" s="7" t="s">
        <v>36</v>
      </c>
      <c r="D84" s="7" t="s">
        <v>71</v>
      </c>
      <c r="E84" s="8">
        <f>0</f>
        <v>0</v>
      </c>
      <c r="F84" s="8">
        <f>0</f>
        <v>0</v>
      </c>
      <c r="G84" s="12" t="s">
        <v>10</v>
      </c>
      <c r="H84" s="13">
        <f>0</f>
        <v>0</v>
      </c>
    </row>
    <row r="85" spans="1:8" ht="48" x14ac:dyDescent="0.25">
      <c r="A85" s="50"/>
      <c r="B85" s="75"/>
      <c r="C85" s="7" t="s">
        <v>11</v>
      </c>
      <c r="D85" s="7" t="s">
        <v>72</v>
      </c>
      <c r="E85" s="8">
        <f>E86+E87+E88+E89+E90+E91+E92+E93</f>
        <v>87533.36</v>
      </c>
      <c r="F85" s="8">
        <f>F86+F87+F88+F89+F90+F91+F92+F93</f>
        <v>78867.850000000006</v>
      </c>
      <c r="G85" s="12" t="s">
        <v>751</v>
      </c>
      <c r="H85" s="13">
        <f>H86+H87+H88+H89+H90+H91+H92+H93</f>
        <v>78867.850000000006</v>
      </c>
    </row>
    <row r="86" spans="1:8" ht="36" x14ac:dyDescent="0.25">
      <c r="A86" s="50"/>
      <c r="B86" s="75"/>
      <c r="C86" s="9" t="s">
        <v>524</v>
      </c>
      <c r="D86" s="7" t="s">
        <v>73</v>
      </c>
      <c r="E86" s="8">
        <f>4370</f>
        <v>4370</v>
      </c>
      <c r="F86" s="8">
        <f>4113.71</f>
        <v>4113.71</v>
      </c>
      <c r="G86" s="12" t="s">
        <v>752</v>
      </c>
      <c r="H86" s="13">
        <f>4113.71</f>
        <v>4113.71</v>
      </c>
    </row>
    <row r="87" spans="1:8" ht="84" x14ac:dyDescent="0.25">
      <c r="A87" s="50"/>
      <c r="B87" s="75"/>
      <c r="C87" s="9" t="s">
        <v>556</v>
      </c>
      <c r="D87" s="7" t="s">
        <v>74</v>
      </c>
      <c r="E87" s="8">
        <f>0</f>
        <v>0</v>
      </c>
      <c r="F87" s="8">
        <f>0</f>
        <v>0</v>
      </c>
      <c r="G87" s="12" t="s">
        <v>10</v>
      </c>
      <c r="H87" s="13">
        <f>0</f>
        <v>0</v>
      </c>
    </row>
    <row r="88" spans="1:8" ht="48" x14ac:dyDescent="0.25">
      <c r="A88" s="50"/>
      <c r="B88" s="75"/>
      <c r="C88" s="9" t="s">
        <v>557</v>
      </c>
      <c r="D88" s="7" t="s">
        <v>75</v>
      </c>
      <c r="E88" s="8">
        <f>0</f>
        <v>0</v>
      </c>
      <c r="F88" s="8">
        <f>0</f>
        <v>0</v>
      </c>
      <c r="G88" s="12" t="s">
        <v>10</v>
      </c>
      <c r="H88" s="13">
        <f>0</f>
        <v>0</v>
      </c>
    </row>
    <row r="89" spans="1:8" ht="36" x14ac:dyDescent="0.25">
      <c r="A89" s="50"/>
      <c r="B89" s="75"/>
      <c r="C89" s="9" t="s">
        <v>558</v>
      </c>
      <c r="D89" s="7" t="s">
        <v>76</v>
      </c>
      <c r="E89" s="8">
        <f>0</f>
        <v>0</v>
      </c>
      <c r="F89" s="8">
        <f>0</f>
        <v>0</v>
      </c>
      <c r="G89" s="12" t="s">
        <v>10</v>
      </c>
      <c r="H89" s="13">
        <f>0</f>
        <v>0</v>
      </c>
    </row>
    <row r="90" spans="1:8" ht="36" x14ac:dyDescent="0.25">
      <c r="A90" s="50"/>
      <c r="B90" s="75"/>
      <c r="C90" s="9" t="s">
        <v>559</v>
      </c>
      <c r="D90" s="7" t="s">
        <v>77</v>
      </c>
      <c r="E90" s="8">
        <f>0</f>
        <v>0</v>
      </c>
      <c r="F90" s="8">
        <f>0</f>
        <v>0</v>
      </c>
      <c r="G90" s="12" t="s">
        <v>10</v>
      </c>
      <c r="H90" s="13">
        <f>0</f>
        <v>0</v>
      </c>
    </row>
    <row r="91" spans="1:8" ht="120" x14ac:dyDescent="0.25">
      <c r="A91" s="50"/>
      <c r="B91" s="75"/>
      <c r="C91" s="9" t="s">
        <v>560</v>
      </c>
      <c r="D91" s="18" t="s">
        <v>78</v>
      </c>
      <c r="E91" s="8">
        <f>0</f>
        <v>0</v>
      </c>
      <c r="F91" s="8">
        <f>0</f>
        <v>0</v>
      </c>
      <c r="G91" s="12" t="s">
        <v>10</v>
      </c>
      <c r="H91" s="13">
        <f>0</f>
        <v>0</v>
      </c>
    </row>
    <row r="92" spans="1:8" ht="36" x14ac:dyDescent="0.25">
      <c r="A92" s="50"/>
      <c r="B92" s="75"/>
      <c r="C92" s="9" t="s">
        <v>561</v>
      </c>
      <c r="D92" s="7" t="s">
        <v>79</v>
      </c>
      <c r="E92" s="8">
        <f>28334.97+18508.64+5938.75</f>
        <v>52782.36</v>
      </c>
      <c r="F92" s="8">
        <f>24446.8+15968.86+4856.2</f>
        <v>45271.86</v>
      </c>
      <c r="G92" s="12" t="s">
        <v>753</v>
      </c>
      <c r="H92" s="13">
        <f>24446.8+15968.86+4856.2</f>
        <v>45271.86</v>
      </c>
    </row>
    <row r="93" spans="1:8" ht="48" x14ac:dyDescent="0.25">
      <c r="A93" s="50"/>
      <c r="B93" s="75"/>
      <c r="C93" s="9" t="s">
        <v>562</v>
      </c>
      <c r="D93" s="7" t="s">
        <v>513</v>
      </c>
      <c r="E93" s="8">
        <f>3121+27260</f>
        <v>30381</v>
      </c>
      <c r="F93" s="8">
        <f>2948.23+26534.05</f>
        <v>29482.28</v>
      </c>
      <c r="G93" s="12" t="s">
        <v>754</v>
      </c>
      <c r="H93" s="13">
        <f>2948.23+26534.05</f>
        <v>29482.28</v>
      </c>
    </row>
    <row r="94" spans="1:8" ht="48" x14ac:dyDescent="0.25">
      <c r="A94" s="50"/>
      <c r="B94" s="75"/>
      <c r="C94" s="7" t="s">
        <v>30</v>
      </c>
      <c r="D94" s="7" t="s">
        <v>82</v>
      </c>
      <c r="E94" s="8">
        <f>0</f>
        <v>0</v>
      </c>
      <c r="F94" s="8">
        <f>0</f>
        <v>0</v>
      </c>
      <c r="G94" s="12" t="s">
        <v>10</v>
      </c>
      <c r="H94" s="13">
        <f>0</f>
        <v>0</v>
      </c>
    </row>
    <row r="95" spans="1:8" ht="24" x14ac:dyDescent="0.25">
      <c r="A95" s="50"/>
      <c r="B95" s="75"/>
      <c r="C95" s="7" t="s">
        <v>395</v>
      </c>
      <c r="D95" s="7" t="s">
        <v>81</v>
      </c>
      <c r="E95" s="8">
        <f>0</f>
        <v>0</v>
      </c>
      <c r="F95" s="8">
        <f>0</f>
        <v>0</v>
      </c>
      <c r="G95" s="12" t="s">
        <v>10</v>
      </c>
      <c r="H95" s="13">
        <f>0</f>
        <v>0</v>
      </c>
    </row>
    <row r="96" spans="1:8" ht="24" x14ac:dyDescent="0.25">
      <c r="A96" s="50"/>
      <c r="B96" s="75"/>
      <c r="C96" s="7" t="s">
        <v>396</v>
      </c>
      <c r="D96" s="7" t="s">
        <v>80</v>
      </c>
      <c r="E96" s="8">
        <f>0</f>
        <v>0</v>
      </c>
      <c r="F96" s="8">
        <f>0</f>
        <v>0</v>
      </c>
      <c r="G96" s="12" t="s">
        <v>10</v>
      </c>
      <c r="H96" s="13">
        <f>0</f>
        <v>0</v>
      </c>
    </row>
    <row r="97" spans="1:8" ht="24" x14ac:dyDescent="0.25">
      <c r="A97" s="50"/>
      <c r="B97" s="75"/>
      <c r="C97" s="5" t="s">
        <v>25</v>
      </c>
      <c r="D97" s="5" t="s">
        <v>83</v>
      </c>
      <c r="E97" s="6">
        <f>E98+E99+E104+E105+E107+E108+E109+E110</f>
        <v>68508.820000000007</v>
      </c>
      <c r="F97" s="6">
        <f>F98+F99+F104+F105+F107+F108+F109+F110</f>
        <v>68231.72</v>
      </c>
      <c r="G97" s="10" t="s">
        <v>755</v>
      </c>
      <c r="H97" s="11">
        <f>H98+H99+H104+H105+H107+H108+H109+H110</f>
        <v>68231.72</v>
      </c>
    </row>
    <row r="98" spans="1:8" ht="36" x14ac:dyDescent="0.25">
      <c r="A98" s="50"/>
      <c r="B98" s="75"/>
      <c r="C98" s="7" t="s">
        <v>36</v>
      </c>
      <c r="D98" s="7" t="s">
        <v>87</v>
      </c>
      <c r="E98" s="8">
        <f>0</f>
        <v>0</v>
      </c>
      <c r="F98" s="8">
        <f>0</f>
        <v>0</v>
      </c>
      <c r="G98" s="12" t="s">
        <v>10</v>
      </c>
      <c r="H98" s="13">
        <f>0</f>
        <v>0</v>
      </c>
    </row>
    <row r="99" spans="1:8" ht="24" x14ac:dyDescent="0.25">
      <c r="A99" s="50"/>
      <c r="B99" s="75"/>
      <c r="C99" s="7" t="s">
        <v>11</v>
      </c>
      <c r="D99" s="7" t="s">
        <v>88</v>
      </c>
      <c r="E99" s="8">
        <f>E100+E101+E102+E103</f>
        <v>68508.820000000007</v>
      </c>
      <c r="F99" s="8">
        <f>F100+F101+F102+F103</f>
        <v>68231.72</v>
      </c>
      <c r="G99" s="12" t="s">
        <v>755</v>
      </c>
      <c r="H99" s="13">
        <f>H100+H101+H102+H103</f>
        <v>68231.72</v>
      </c>
    </row>
    <row r="100" spans="1:8" ht="24" x14ac:dyDescent="0.25">
      <c r="A100" s="50"/>
      <c r="B100" s="75"/>
      <c r="C100" s="9" t="s">
        <v>523</v>
      </c>
      <c r="D100" s="7" t="s">
        <v>89</v>
      </c>
      <c r="E100" s="8">
        <f>64964.33</f>
        <v>64964.33</v>
      </c>
      <c r="F100" s="8">
        <f>64687.23</f>
        <v>64687.23</v>
      </c>
      <c r="G100" s="12" t="s">
        <v>755</v>
      </c>
      <c r="H100" s="13">
        <f>64687.23</f>
        <v>64687.23</v>
      </c>
    </row>
    <row r="101" spans="1:8" ht="24" x14ac:dyDescent="0.25">
      <c r="A101" s="50"/>
      <c r="B101" s="75"/>
      <c r="C101" s="9" t="s">
        <v>524</v>
      </c>
      <c r="D101" s="7" t="s">
        <v>90</v>
      </c>
      <c r="E101" s="8">
        <f>0</f>
        <v>0</v>
      </c>
      <c r="F101" s="8">
        <f>0</f>
        <v>0</v>
      </c>
      <c r="G101" s="12" t="s">
        <v>10</v>
      </c>
      <c r="H101" s="13">
        <f>0</f>
        <v>0</v>
      </c>
    </row>
    <row r="102" spans="1:8" ht="24" x14ac:dyDescent="0.25">
      <c r="A102" s="50"/>
      <c r="B102" s="75"/>
      <c r="C102" s="9" t="s">
        <v>563</v>
      </c>
      <c r="D102" s="7" t="s">
        <v>91</v>
      </c>
      <c r="E102" s="8">
        <f>3544.49</f>
        <v>3544.49</v>
      </c>
      <c r="F102" s="8">
        <f>3544.49</f>
        <v>3544.49</v>
      </c>
      <c r="G102" s="12" t="s">
        <v>550</v>
      </c>
      <c r="H102" s="13">
        <f>3544.49</f>
        <v>3544.49</v>
      </c>
    </row>
    <row r="103" spans="1:8" ht="24" x14ac:dyDescent="0.25">
      <c r="A103" s="50"/>
      <c r="B103" s="75"/>
      <c r="C103" s="9" t="s">
        <v>556</v>
      </c>
      <c r="D103" s="7" t="s">
        <v>59</v>
      </c>
      <c r="E103" s="8">
        <f>0</f>
        <v>0</v>
      </c>
      <c r="F103" s="8">
        <f>0</f>
        <v>0</v>
      </c>
      <c r="G103" s="12" t="s">
        <v>10</v>
      </c>
      <c r="H103" s="13">
        <f>0</f>
        <v>0</v>
      </c>
    </row>
    <row r="104" spans="1:8" ht="48" x14ac:dyDescent="0.25">
      <c r="A104" s="50"/>
      <c r="B104" s="75"/>
      <c r="C104" s="7" t="s">
        <v>92</v>
      </c>
      <c r="D104" s="7" t="s">
        <v>514</v>
      </c>
      <c r="E104" s="8">
        <f>0</f>
        <v>0</v>
      </c>
      <c r="F104" s="8">
        <f>0</f>
        <v>0</v>
      </c>
      <c r="G104" s="12" t="s">
        <v>10</v>
      </c>
      <c r="H104" s="13">
        <f>0</f>
        <v>0</v>
      </c>
    </row>
    <row r="105" spans="1:8" ht="24" x14ac:dyDescent="0.25">
      <c r="A105" s="50"/>
      <c r="B105" s="75"/>
      <c r="C105" s="7" t="s">
        <v>93</v>
      </c>
      <c r="D105" s="7" t="s">
        <v>94</v>
      </c>
      <c r="E105" s="8">
        <f>E106</f>
        <v>0</v>
      </c>
      <c r="F105" s="8">
        <f>F106</f>
        <v>0</v>
      </c>
      <c r="G105" s="12" t="s">
        <v>10</v>
      </c>
      <c r="H105" s="13">
        <f>H106</f>
        <v>0</v>
      </c>
    </row>
    <row r="106" spans="1:8" ht="36" x14ac:dyDescent="0.25">
      <c r="A106" s="50"/>
      <c r="B106" s="75"/>
      <c r="C106" s="9" t="s">
        <v>564</v>
      </c>
      <c r="D106" s="7" t="s">
        <v>515</v>
      </c>
      <c r="E106" s="8">
        <f>0</f>
        <v>0</v>
      </c>
      <c r="F106" s="8">
        <f>0</f>
        <v>0</v>
      </c>
      <c r="G106" s="12" t="s">
        <v>10</v>
      </c>
      <c r="H106" s="13">
        <f>0</f>
        <v>0</v>
      </c>
    </row>
    <row r="107" spans="1:8" ht="24" x14ac:dyDescent="0.25">
      <c r="A107" s="50"/>
      <c r="B107" s="75"/>
      <c r="C107" s="7" t="s">
        <v>451</v>
      </c>
      <c r="D107" s="7" t="s">
        <v>85</v>
      </c>
      <c r="E107" s="8">
        <f>0</f>
        <v>0</v>
      </c>
      <c r="F107" s="8">
        <f>0</f>
        <v>0</v>
      </c>
      <c r="G107" s="12" t="s">
        <v>10</v>
      </c>
      <c r="H107" s="13">
        <f>0</f>
        <v>0</v>
      </c>
    </row>
    <row r="108" spans="1:8" ht="24" x14ac:dyDescent="0.25">
      <c r="A108" s="50"/>
      <c r="B108" s="75"/>
      <c r="C108" s="7" t="s">
        <v>516</v>
      </c>
      <c r="D108" s="7" t="s">
        <v>84</v>
      </c>
      <c r="E108" s="8">
        <f>0</f>
        <v>0</v>
      </c>
      <c r="F108" s="8">
        <f>0</f>
        <v>0</v>
      </c>
      <c r="G108" s="12" t="s">
        <v>10</v>
      </c>
      <c r="H108" s="13">
        <f>0</f>
        <v>0</v>
      </c>
    </row>
    <row r="109" spans="1:8" ht="24" x14ac:dyDescent="0.25">
      <c r="A109" s="50"/>
      <c r="B109" s="75"/>
      <c r="C109" s="7" t="s">
        <v>396</v>
      </c>
      <c r="D109" s="7" t="s">
        <v>80</v>
      </c>
      <c r="E109" s="8">
        <f>0</f>
        <v>0</v>
      </c>
      <c r="F109" s="8">
        <f>0</f>
        <v>0</v>
      </c>
      <c r="G109" s="12" t="s">
        <v>10</v>
      </c>
      <c r="H109" s="13">
        <f>0</f>
        <v>0</v>
      </c>
    </row>
    <row r="110" spans="1:8" ht="24" x14ac:dyDescent="0.25">
      <c r="A110" s="50"/>
      <c r="B110" s="75"/>
      <c r="C110" s="7" t="s">
        <v>308</v>
      </c>
      <c r="D110" s="7" t="s">
        <v>86</v>
      </c>
      <c r="E110" s="8">
        <f>0</f>
        <v>0</v>
      </c>
      <c r="F110" s="8">
        <f>0</f>
        <v>0</v>
      </c>
      <c r="G110" s="12" t="s">
        <v>10</v>
      </c>
      <c r="H110" s="13">
        <f>0</f>
        <v>0</v>
      </c>
    </row>
    <row r="111" spans="1:8" ht="24" x14ac:dyDescent="0.25">
      <c r="A111" s="50"/>
      <c r="B111" s="75"/>
      <c r="C111" s="5" t="s">
        <v>29</v>
      </c>
      <c r="D111" s="5" t="s">
        <v>95</v>
      </c>
      <c r="E111" s="6">
        <f>E112</f>
        <v>0</v>
      </c>
      <c r="F111" s="6">
        <f>F112</f>
        <v>0</v>
      </c>
      <c r="G111" s="10" t="s">
        <v>10</v>
      </c>
      <c r="H111" s="11">
        <f>H112</f>
        <v>0</v>
      </c>
    </row>
    <row r="112" spans="1:8" ht="48" x14ac:dyDescent="0.25">
      <c r="A112" s="50"/>
      <c r="B112" s="75"/>
      <c r="C112" s="7" t="s">
        <v>30</v>
      </c>
      <c r="D112" s="7" t="s">
        <v>97</v>
      </c>
      <c r="E112" s="8">
        <f>E113</f>
        <v>0</v>
      </c>
      <c r="F112" s="8">
        <f>F113</f>
        <v>0</v>
      </c>
      <c r="G112" s="12" t="s">
        <v>10</v>
      </c>
      <c r="H112" s="13">
        <f>H113</f>
        <v>0</v>
      </c>
    </row>
    <row r="113" spans="1:8" ht="24" x14ac:dyDescent="0.25">
      <c r="A113" s="50"/>
      <c r="B113" s="75"/>
      <c r="C113" s="7" t="s">
        <v>517</v>
      </c>
      <c r="D113" s="7" t="s">
        <v>96</v>
      </c>
      <c r="E113" s="8">
        <f>0</f>
        <v>0</v>
      </c>
      <c r="F113" s="8">
        <f>0</f>
        <v>0</v>
      </c>
      <c r="G113" s="12" t="s">
        <v>10</v>
      </c>
      <c r="H113" s="13">
        <f>0</f>
        <v>0</v>
      </c>
    </row>
    <row r="114" spans="1:8" ht="15" customHeight="1" x14ac:dyDescent="0.25">
      <c r="A114" s="50"/>
      <c r="B114" s="75"/>
      <c r="C114" s="5" t="s">
        <v>13</v>
      </c>
      <c r="D114" s="5" t="s">
        <v>40</v>
      </c>
      <c r="E114" s="6">
        <f>E115</f>
        <v>29063.93</v>
      </c>
      <c r="F114" s="6">
        <f>F115</f>
        <v>28676.03</v>
      </c>
      <c r="G114" s="10" t="s">
        <v>756</v>
      </c>
      <c r="H114" s="11">
        <f>H115</f>
        <v>28676.03</v>
      </c>
    </row>
    <row r="115" spans="1:8" ht="24" x14ac:dyDescent="0.25">
      <c r="A115" s="50"/>
      <c r="B115" s="75"/>
      <c r="C115" s="7" t="s">
        <v>21</v>
      </c>
      <c r="D115" s="7" t="s">
        <v>41</v>
      </c>
      <c r="E115" s="8">
        <f>E116+E117+E118</f>
        <v>29063.93</v>
      </c>
      <c r="F115" s="8">
        <f>F116+F117+F118</f>
        <v>28676.03</v>
      </c>
      <c r="G115" s="12" t="s">
        <v>756</v>
      </c>
      <c r="H115" s="13">
        <f>H116+H117+H118</f>
        <v>28676.03</v>
      </c>
    </row>
    <row r="116" spans="1:8" ht="24" x14ac:dyDescent="0.25">
      <c r="A116" s="50"/>
      <c r="B116" s="75"/>
      <c r="C116" s="9" t="s">
        <v>525</v>
      </c>
      <c r="D116" s="7" t="s">
        <v>98</v>
      </c>
      <c r="E116" s="8">
        <f>14903.96</f>
        <v>14903.96</v>
      </c>
      <c r="F116" s="8">
        <f>14564.62</f>
        <v>14564.62</v>
      </c>
      <c r="G116" s="12" t="s">
        <v>757</v>
      </c>
      <c r="H116" s="13">
        <f>14564.62</f>
        <v>14564.62</v>
      </c>
    </row>
    <row r="117" spans="1:8" ht="36" x14ac:dyDescent="0.25">
      <c r="A117" s="50"/>
      <c r="B117" s="75"/>
      <c r="C117" s="9" t="s">
        <v>529</v>
      </c>
      <c r="D117" s="7" t="s">
        <v>99</v>
      </c>
      <c r="E117" s="8">
        <f>14159.97</f>
        <v>14159.97</v>
      </c>
      <c r="F117" s="8">
        <f>14111.41</f>
        <v>14111.41</v>
      </c>
      <c r="G117" s="12" t="s">
        <v>755</v>
      </c>
      <c r="H117" s="13">
        <f>14111.41</f>
        <v>14111.41</v>
      </c>
    </row>
    <row r="118" spans="1:8" ht="24" x14ac:dyDescent="0.25">
      <c r="A118" s="50"/>
      <c r="B118" s="75"/>
      <c r="C118" s="9" t="s">
        <v>539</v>
      </c>
      <c r="D118" s="7" t="s">
        <v>59</v>
      </c>
      <c r="E118" s="8">
        <f>0</f>
        <v>0</v>
      </c>
      <c r="F118" s="8">
        <f>0</f>
        <v>0</v>
      </c>
      <c r="G118" s="12" t="s">
        <v>10</v>
      </c>
      <c r="H118" s="13">
        <f>0</f>
        <v>0</v>
      </c>
    </row>
    <row r="119" spans="1:8" ht="17.45" customHeight="1" thickBot="1" x14ac:dyDescent="0.3">
      <c r="A119" s="62" t="s">
        <v>18</v>
      </c>
      <c r="B119" s="63"/>
      <c r="C119" s="63"/>
      <c r="D119" s="64"/>
      <c r="E119" s="32">
        <f>E56+E73+E97+E111+E114</f>
        <v>1893939.44</v>
      </c>
      <c r="F119" s="29">
        <f>F56+F73+F97+F111+F114</f>
        <v>1864557.1800000002</v>
      </c>
      <c r="G119" s="30" t="s">
        <v>758</v>
      </c>
      <c r="H119" s="31">
        <f>H56+H73+H97+H111+H114</f>
        <v>1864557.1800000002</v>
      </c>
    </row>
    <row r="120" spans="1:8" x14ac:dyDescent="0.25">
      <c r="A120" s="48">
        <v>4</v>
      </c>
      <c r="B120" s="47" t="s">
        <v>100</v>
      </c>
      <c r="C120" s="5" t="s">
        <v>8</v>
      </c>
      <c r="D120" s="5" t="s">
        <v>101</v>
      </c>
      <c r="E120" s="15">
        <f>E121+E124+E126</f>
        <v>51558.46</v>
      </c>
      <c r="F120" s="15">
        <f>F121+F124+F126</f>
        <v>46604.42</v>
      </c>
      <c r="G120" s="16" t="s">
        <v>759</v>
      </c>
      <c r="H120" s="17">
        <f>H121+H124+H126</f>
        <v>46604.42</v>
      </c>
    </row>
    <row r="121" spans="1:8" ht="36" x14ac:dyDescent="0.25">
      <c r="A121" s="48"/>
      <c r="B121" s="47"/>
      <c r="C121" s="7" t="s">
        <v>11</v>
      </c>
      <c r="D121" s="7" t="s">
        <v>102</v>
      </c>
      <c r="E121" s="8">
        <f>E122+E123</f>
        <v>42352</v>
      </c>
      <c r="F121" s="8">
        <f>F122+F123</f>
        <v>37401.589999999997</v>
      </c>
      <c r="G121" s="12" t="s">
        <v>760</v>
      </c>
      <c r="H121" s="13">
        <f>H122+H123</f>
        <v>37401.589999999997</v>
      </c>
    </row>
    <row r="122" spans="1:8" ht="24" x14ac:dyDescent="0.25">
      <c r="A122" s="48"/>
      <c r="B122" s="47"/>
      <c r="C122" s="9" t="s">
        <v>523</v>
      </c>
      <c r="D122" s="7" t="s">
        <v>103</v>
      </c>
      <c r="E122" s="8">
        <f>39129</f>
        <v>39129</v>
      </c>
      <c r="F122" s="8">
        <f>34190.75</f>
        <v>34190.75</v>
      </c>
      <c r="G122" s="12" t="s">
        <v>761</v>
      </c>
      <c r="H122" s="13">
        <f>34190.75</f>
        <v>34190.75</v>
      </c>
    </row>
    <row r="123" spans="1:8" ht="24" x14ac:dyDescent="0.25">
      <c r="A123" s="48"/>
      <c r="B123" s="47"/>
      <c r="C123" s="9" t="s">
        <v>524</v>
      </c>
      <c r="D123" s="7" t="s">
        <v>104</v>
      </c>
      <c r="E123" s="8">
        <f>3223</f>
        <v>3223</v>
      </c>
      <c r="F123" s="8">
        <f>3210.84</f>
        <v>3210.84</v>
      </c>
      <c r="G123" s="12" t="s">
        <v>755</v>
      </c>
      <c r="H123" s="13">
        <f>3210.84</f>
        <v>3210.84</v>
      </c>
    </row>
    <row r="124" spans="1:8" ht="24" x14ac:dyDescent="0.25">
      <c r="A124" s="48"/>
      <c r="B124" s="47"/>
      <c r="C124" s="7" t="s">
        <v>105</v>
      </c>
      <c r="D124" s="7" t="s">
        <v>106</v>
      </c>
      <c r="E124" s="8">
        <f>E125</f>
        <v>6238.36</v>
      </c>
      <c r="F124" s="8">
        <f>F125</f>
        <v>6238.36</v>
      </c>
      <c r="G124" s="12" t="s">
        <v>550</v>
      </c>
      <c r="H124" s="13">
        <f>H125</f>
        <v>6238.36</v>
      </c>
    </row>
    <row r="125" spans="1:8" ht="36" x14ac:dyDescent="0.25">
      <c r="A125" s="48"/>
      <c r="B125" s="47"/>
      <c r="C125" s="9" t="s">
        <v>565</v>
      </c>
      <c r="D125" s="7" t="s">
        <v>107</v>
      </c>
      <c r="E125" s="8">
        <f>6238.36</f>
        <v>6238.36</v>
      </c>
      <c r="F125" s="8">
        <f>6238.36</f>
        <v>6238.36</v>
      </c>
      <c r="G125" s="12" t="s">
        <v>550</v>
      </c>
      <c r="H125" s="13">
        <f>6238.36</f>
        <v>6238.36</v>
      </c>
    </row>
    <row r="126" spans="1:8" ht="24" x14ac:dyDescent="0.25">
      <c r="A126" s="48"/>
      <c r="B126" s="47"/>
      <c r="C126" s="7" t="s">
        <v>108</v>
      </c>
      <c r="D126" s="7" t="s">
        <v>109</v>
      </c>
      <c r="E126" s="8">
        <f>E127+E131</f>
        <v>2968.1</v>
      </c>
      <c r="F126" s="8">
        <f>F127+F131</f>
        <v>2964.4700000000003</v>
      </c>
      <c r="G126" s="12" t="s">
        <v>738</v>
      </c>
      <c r="H126" s="13">
        <f>H127+H131</f>
        <v>2964.4700000000003</v>
      </c>
    </row>
    <row r="127" spans="1:8" x14ac:dyDescent="0.25">
      <c r="A127" s="48"/>
      <c r="B127" s="47"/>
      <c r="C127" s="9" t="s">
        <v>566</v>
      </c>
      <c r="D127" s="7" t="s">
        <v>762</v>
      </c>
      <c r="E127" s="8">
        <f>E128+E129+E130</f>
        <v>2722.1</v>
      </c>
      <c r="F127" s="8">
        <f>F128+F129+F130</f>
        <v>2721.4700000000003</v>
      </c>
      <c r="G127" s="12" t="s">
        <v>550</v>
      </c>
      <c r="H127" s="13">
        <f>H128+H129+H130</f>
        <v>2721.4700000000003</v>
      </c>
    </row>
    <row r="128" spans="1:8" ht="36" x14ac:dyDescent="0.25">
      <c r="A128" s="48"/>
      <c r="B128" s="47"/>
      <c r="C128" s="9" t="s">
        <v>567</v>
      </c>
      <c r="D128" s="7" t="s">
        <v>110</v>
      </c>
      <c r="E128" s="8">
        <f>422.1</f>
        <v>422.1</v>
      </c>
      <c r="F128" s="8">
        <f>422.08</f>
        <v>422.08</v>
      </c>
      <c r="G128" s="12" t="s">
        <v>550</v>
      </c>
      <c r="H128" s="13">
        <f>422.08</f>
        <v>422.08</v>
      </c>
    </row>
    <row r="129" spans="1:8" ht="36" x14ac:dyDescent="0.25">
      <c r="A129" s="48"/>
      <c r="B129" s="47"/>
      <c r="C129" s="9" t="s">
        <v>568</v>
      </c>
      <c r="D129" s="7" t="s">
        <v>111</v>
      </c>
      <c r="E129" s="8">
        <f>2000</f>
        <v>2000</v>
      </c>
      <c r="F129" s="8">
        <f>1999.39</f>
        <v>1999.39</v>
      </c>
      <c r="G129" s="12" t="s">
        <v>550</v>
      </c>
      <c r="H129" s="13">
        <f>1999.39</f>
        <v>1999.39</v>
      </c>
    </row>
    <row r="130" spans="1:8" ht="60" x14ac:dyDescent="0.25">
      <c r="A130" s="48"/>
      <c r="B130" s="47"/>
      <c r="C130" s="9" t="s">
        <v>570</v>
      </c>
      <c r="D130" s="7" t="s">
        <v>112</v>
      </c>
      <c r="E130" s="8">
        <f>300</f>
        <v>300</v>
      </c>
      <c r="F130" s="8">
        <f>300</f>
        <v>300</v>
      </c>
      <c r="G130" s="12" t="s">
        <v>550</v>
      </c>
      <c r="H130" s="13">
        <f>300</f>
        <v>300</v>
      </c>
    </row>
    <row r="131" spans="1:8" ht="24" x14ac:dyDescent="0.25">
      <c r="A131" s="48"/>
      <c r="B131" s="47"/>
      <c r="C131" s="9" t="s">
        <v>571</v>
      </c>
      <c r="D131" s="7" t="s">
        <v>763</v>
      </c>
      <c r="E131" s="8">
        <f>E132</f>
        <v>246</v>
      </c>
      <c r="F131" s="8">
        <f>F132</f>
        <v>243</v>
      </c>
      <c r="G131" s="12" t="s">
        <v>740</v>
      </c>
      <c r="H131" s="13">
        <f>H132</f>
        <v>243</v>
      </c>
    </row>
    <row r="132" spans="1:8" ht="84" x14ac:dyDescent="0.25">
      <c r="A132" s="48"/>
      <c r="B132" s="47"/>
      <c r="C132" s="9" t="s">
        <v>572</v>
      </c>
      <c r="D132" s="7" t="s">
        <v>113</v>
      </c>
      <c r="E132" s="8">
        <f>246</f>
        <v>246</v>
      </c>
      <c r="F132" s="8">
        <f>243</f>
        <v>243</v>
      </c>
      <c r="G132" s="12" t="s">
        <v>740</v>
      </c>
      <c r="H132" s="13">
        <f>243</f>
        <v>243</v>
      </c>
    </row>
    <row r="133" spans="1:8" ht="24" x14ac:dyDescent="0.25">
      <c r="A133" s="48"/>
      <c r="B133" s="47"/>
      <c r="C133" s="5" t="s">
        <v>20</v>
      </c>
      <c r="D133" s="5" t="s">
        <v>114</v>
      </c>
      <c r="E133" s="6">
        <f>E134</f>
        <v>0</v>
      </c>
      <c r="F133" s="6">
        <f>F134</f>
        <v>0</v>
      </c>
      <c r="G133" s="10" t="s">
        <v>10</v>
      </c>
      <c r="H133" s="11">
        <f>H134</f>
        <v>0</v>
      </c>
    </row>
    <row r="134" spans="1:8" ht="24" x14ac:dyDescent="0.25">
      <c r="A134" s="48"/>
      <c r="B134" s="47"/>
      <c r="C134" s="7" t="s">
        <v>36</v>
      </c>
      <c r="D134" s="7" t="s">
        <v>115</v>
      </c>
      <c r="E134" s="8">
        <f>E135+E136</f>
        <v>0</v>
      </c>
      <c r="F134" s="8">
        <f>F135+F136</f>
        <v>0</v>
      </c>
      <c r="G134" s="12" t="s">
        <v>10</v>
      </c>
      <c r="H134" s="13">
        <f>H135+H136</f>
        <v>0</v>
      </c>
    </row>
    <row r="135" spans="1:8" ht="48" x14ac:dyDescent="0.25">
      <c r="A135" s="48"/>
      <c r="B135" s="47"/>
      <c r="C135" s="9" t="s">
        <v>540</v>
      </c>
      <c r="D135" s="7" t="s">
        <v>116</v>
      </c>
      <c r="E135" s="8">
        <f>0</f>
        <v>0</v>
      </c>
      <c r="F135" s="8">
        <f>0</f>
        <v>0</v>
      </c>
      <c r="G135" s="12" t="s">
        <v>10</v>
      </c>
      <c r="H135" s="13">
        <f>0</f>
        <v>0</v>
      </c>
    </row>
    <row r="136" spans="1:8" ht="72" x14ac:dyDescent="0.25">
      <c r="A136" s="48"/>
      <c r="B136" s="47"/>
      <c r="C136" s="9" t="s">
        <v>541</v>
      </c>
      <c r="D136" s="7" t="s">
        <v>117</v>
      </c>
      <c r="E136" s="8">
        <f>0</f>
        <v>0</v>
      </c>
      <c r="F136" s="8">
        <f>0</f>
        <v>0</v>
      </c>
      <c r="G136" s="12" t="s">
        <v>10</v>
      </c>
      <c r="H136" s="13">
        <f>0</f>
        <v>0</v>
      </c>
    </row>
    <row r="137" spans="1:8" x14ac:dyDescent="0.25">
      <c r="A137" s="48"/>
      <c r="B137" s="47"/>
      <c r="C137" s="5" t="s">
        <v>25</v>
      </c>
      <c r="D137" s="5" t="s">
        <v>118</v>
      </c>
      <c r="E137" s="6">
        <f>E138</f>
        <v>24210.590000000004</v>
      </c>
      <c r="F137" s="6">
        <f>F138</f>
        <v>23836.479999999996</v>
      </c>
      <c r="G137" s="10" t="s">
        <v>758</v>
      </c>
      <c r="H137" s="11">
        <f>H138</f>
        <v>23836.479999999996</v>
      </c>
    </row>
    <row r="138" spans="1:8" ht="24" x14ac:dyDescent="0.25">
      <c r="A138" s="48"/>
      <c r="B138" s="47"/>
      <c r="C138" s="7" t="s">
        <v>30</v>
      </c>
      <c r="D138" s="7" t="s">
        <v>119</v>
      </c>
      <c r="E138" s="8">
        <f>E139</f>
        <v>24210.590000000004</v>
      </c>
      <c r="F138" s="8">
        <f>F139</f>
        <v>23836.479999999996</v>
      </c>
      <c r="G138" s="12" t="s">
        <v>758</v>
      </c>
      <c r="H138" s="13">
        <f>H139</f>
        <v>23836.479999999996</v>
      </c>
    </row>
    <row r="139" spans="1:8" x14ac:dyDescent="0.25">
      <c r="A139" s="48"/>
      <c r="B139" s="47"/>
      <c r="C139" s="9" t="s">
        <v>535</v>
      </c>
      <c r="D139" s="7" t="s">
        <v>120</v>
      </c>
      <c r="E139" s="8">
        <f>E140+E141+E142+E143+E144+E145+E146+E147</f>
        <v>24210.590000000004</v>
      </c>
      <c r="F139" s="8">
        <f>F140+F141+F142+F143+F144+F145+F146+F147</f>
        <v>23836.479999999996</v>
      </c>
      <c r="G139" s="12" t="s">
        <v>758</v>
      </c>
      <c r="H139" s="13">
        <f>H140+H141+H142+H143+H144+H145+H146+H147</f>
        <v>23836.479999999996</v>
      </c>
    </row>
    <row r="140" spans="1:8" ht="24" x14ac:dyDescent="0.25">
      <c r="A140" s="48"/>
      <c r="B140" s="47"/>
      <c r="C140" s="9" t="s">
        <v>573</v>
      </c>
      <c r="D140" s="7" t="s">
        <v>121</v>
      </c>
      <c r="E140" s="8">
        <f>919.08+1983.42+1548</f>
        <v>4450.5</v>
      </c>
      <c r="F140" s="8">
        <f>860.65+1983.42+1548</f>
        <v>4392.07</v>
      </c>
      <c r="G140" s="12" t="s">
        <v>756</v>
      </c>
      <c r="H140" s="13">
        <f>860.65+1983.42+1548</f>
        <v>4392.07</v>
      </c>
    </row>
    <row r="141" spans="1:8" ht="48" x14ac:dyDescent="0.25">
      <c r="A141" s="48"/>
      <c r="B141" s="47"/>
      <c r="C141" s="9" t="s">
        <v>574</v>
      </c>
      <c r="D141" s="7" t="s">
        <v>122</v>
      </c>
      <c r="E141" s="8">
        <f>11367.76+1208.64</f>
        <v>12576.4</v>
      </c>
      <c r="F141" s="8">
        <f>11301.77+1208.64</f>
        <v>12510.41</v>
      </c>
      <c r="G141" s="12" t="s">
        <v>741</v>
      </c>
      <c r="H141" s="13">
        <f>11301.77+1208.64</f>
        <v>12510.41</v>
      </c>
    </row>
    <row r="142" spans="1:8" ht="48" x14ac:dyDescent="0.25">
      <c r="A142" s="48"/>
      <c r="B142" s="47"/>
      <c r="C142" s="9" t="s">
        <v>575</v>
      </c>
      <c r="D142" s="7" t="s">
        <v>123</v>
      </c>
      <c r="E142" s="8">
        <f>2960.58</f>
        <v>2960.58</v>
      </c>
      <c r="F142" s="8">
        <f>2960.58</f>
        <v>2960.58</v>
      </c>
      <c r="G142" s="12" t="s">
        <v>550</v>
      </c>
      <c r="H142" s="13">
        <f>2960.58</f>
        <v>2960.58</v>
      </c>
    </row>
    <row r="143" spans="1:8" ht="48" x14ac:dyDescent="0.25">
      <c r="A143" s="48"/>
      <c r="B143" s="47"/>
      <c r="C143" s="9" t="s">
        <v>576</v>
      </c>
      <c r="D143" s="7" t="s">
        <v>124</v>
      </c>
      <c r="E143" s="8">
        <f>979.97</f>
        <v>979.97</v>
      </c>
      <c r="F143" s="8">
        <f>978.5</f>
        <v>978.5</v>
      </c>
      <c r="G143" s="12" t="s">
        <v>736</v>
      </c>
      <c r="H143" s="13">
        <f>978.5</f>
        <v>978.5</v>
      </c>
    </row>
    <row r="144" spans="1:8" ht="36" x14ac:dyDescent="0.25">
      <c r="A144" s="48"/>
      <c r="B144" s="47"/>
      <c r="C144" s="9" t="s">
        <v>577</v>
      </c>
      <c r="D144" s="7" t="s">
        <v>125</v>
      </c>
      <c r="E144" s="8">
        <f>57.8</f>
        <v>57.8</v>
      </c>
      <c r="F144" s="8">
        <f>55.85</f>
        <v>55.85</v>
      </c>
      <c r="G144" s="12" t="s">
        <v>764</v>
      </c>
      <c r="H144" s="13">
        <f>55.85</f>
        <v>55.85</v>
      </c>
    </row>
    <row r="145" spans="1:8" ht="24" x14ac:dyDescent="0.25">
      <c r="A145" s="48"/>
      <c r="B145" s="47"/>
      <c r="C145" s="9" t="s">
        <v>578</v>
      </c>
      <c r="D145" s="7" t="s">
        <v>126</v>
      </c>
      <c r="E145" s="8">
        <f>500</f>
        <v>500</v>
      </c>
      <c r="F145" s="8">
        <f>253.73</f>
        <v>253.73</v>
      </c>
      <c r="G145" s="12" t="s">
        <v>765</v>
      </c>
      <c r="H145" s="13">
        <f>253.73</f>
        <v>253.73</v>
      </c>
    </row>
    <row r="146" spans="1:8" x14ac:dyDescent="0.25">
      <c r="A146" s="48"/>
      <c r="B146" s="47"/>
      <c r="C146" s="9" t="s">
        <v>579</v>
      </c>
      <c r="D146" s="7" t="s">
        <v>127</v>
      </c>
      <c r="E146" s="8">
        <f>2685.34</f>
        <v>2685.34</v>
      </c>
      <c r="F146" s="8">
        <f>2685.34</f>
        <v>2685.34</v>
      </c>
      <c r="G146" s="12" t="s">
        <v>550</v>
      </c>
      <c r="H146" s="13">
        <f>2685.34</f>
        <v>2685.34</v>
      </c>
    </row>
    <row r="147" spans="1:8" ht="24" x14ac:dyDescent="0.25">
      <c r="A147" s="48"/>
      <c r="B147" s="47"/>
      <c r="C147" s="9" t="s">
        <v>580</v>
      </c>
      <c r="D147" s="7" t="s">
        <v>128</v>
      </c>
      <c r="E147" s="8">
        <f>0</f>
        <v>0</v>
      </c>
      <c r="F147" s="8">
        <f>0</f>
        <v>0</v>
      </c>
      <c r="G147" s="12" t="s">
        <v>10</v>
      </c>
      <c r="H147" s="13">
        <f>0</f>
        <v>0</v>
      </c>
    </row>
    <row r="148" spans="1:8" ht="24" x14ac:dyDescent="0.25">
      <c r="A148" s="48"/>
      <c r="B148" s="47"/>
      <c r="C148" s="5" t="s">
        <v>39</v>
      </c>
      <c r="D148" s="5" t="s">
        <v>129</v>
      </c>
      <c r="E148" s="6">
        <f>E149</f>
        <v>0</v>
      </c>
      <c r="F148" s="6">
        <f>F149</f>
        <v>0</v>
      </c>
      <c r="G148" s="10" t="s">
        <v>10</v>
      </c>
      <c r="H148" s="11">
        <f>H149</f>
        <v>0</v>
      </c>
    </row>
    <row r="149" spans="1:8" ht="24" x14ac:dyDescent="0.25">
      <c r="A149" s="48"/>
      <c r="B149" s="47"/>
      <c r="C149" s="7" t="s">
        <v>21</v>
      </c>
      <c r="D149" s="7" t="s">
        <v>130</v>
      </c>
      <c r="E149" s="8">
        <f>E150</f>
        <v>0</v>
      </c>
      <c r="F149" s="8">
        <f>F150</f>
        <v>0</v>
      </c>
      <c r="G149" s="12" t="s">
        <v>10</v>
      </c>
      <c r="H149" s="13">
        <f>H150</f>
        <v>0</v>
      </c>
    </row>
    <row r="150" spans="1:8" ht="60" x14ac:dyDescent="0.25">
      <c r="A150" s="48"/>
      <c r="B150" s="47"/>
      <c r="C150" s="9" t="s">
        <v>525</v>
      </c>
      <c r="D150" s="7" t="s">
        <v>131</v>
      </c>
      <c r="E150" s="8">
        <f>0</f>
        <v>0</v>
      </c>
      <c r="F150" s="8">
        <f>0</f>
        <v>0</v>
      </c>
      <c r="G150" s="12" t="s">
        <v>10</v>
      </c>
      <c r="H150" s="13">
        <f>0</f>
        <v>0</v>
      </c>
    </row>
    <row r="151" spans="1:8" ht="24" x14ac:dyDescent="0.25">
      <c r="A151" s="48"/>
      <c r="B151" s="47"/>
      <c r="C151" s="5" t="s">
        <v>43</v>
      </c>
      <c r="D151" s="5" t="s">
        <v>132</v>
      </c>
      <c r="E151" s="6">
        <f>E152+E153</f>
        <v>0</v>
      </c>
      <c r="F151" s="6">
        <f>F152+F153</f>
        <v>0</v>
      </c>
      <c r="G151" s="10" t="s">
        <v>10</v>
      </c>
      <c r="H151" s="11">
        <f>H152+H153</f>
        <v>0</v>
      </c>
    </row>
    <row r="152" spans="1:8" ht="24" x14ac:dyDescent="0.25">
      <c r="A152" s="48"/>
      <c r="B152" s="47"/>
      <c r="C152" s="7" t="s">
        <v>21</v>
      </c>
      <c r="D152" s="7" t="s">
        <v>133</v>
      </c>
      <c r="E152" s="8">
        <f>0</f>
        <v>0</v>
      </c>
      <c r="F152" s="8">
        <f>0</f>
        <v>0</v>
      </c>
      <c r="G152" s="12" t="s">
        <v>10</v>
      </c>
      <c r="H152" s="13">
        <f>0</f>
        <v>0</v>
      </c>
    </row>
    <row r="153" spans="1:8" ht="24" x14ac:dyDescent="0.25">
      <c r="A153" s="48"/>
      <c r="B153" s="47"/>
      <c r="C153" s="7" t="s">
        <v>36</v>
      </c>
      <c r="D153" s="7" t="s">
        <v>134</v>
      </c>
      <c r="E153" s="8">
        <f>0</f>
        <v>0</v>
      </c>
      <c r="F153" s="8">
        <f>0</f>
        <v>0</v>
      </c>
      <c r="G153" s="12" t="s">
        <v>10</v>
      </c>
      <c r="H153" s="13">
        <f>0</f>
        <v>0</v>
      </c>
    </row>
    <row r="154" spans="1:8" ht="19.149999999999999" customHeight="1" thickBot="1" x14ac:dyDescent="0.3">
      <c r="A154" s="45" t="s">
        <v>18</v>
      </c>
      <c r="B154" s="46"/>
      <c r="C154" s="46"/>
      <c r="D154" s="46"/>
      <c r="E154" s="32">
        <f>E120+E133+E137+E148+E151</f>
        <v>75769.05</v>
      </c>
      <c r="F154" s="29">
        <f>F120+F133+F137+F148+F151</f>
        <v>70440.899999999994</v>
      </c>
      <c r="G154" s="30" t="s">
        <v>766</v>
      </c>
      <c r="H154" s="31">
        <f>H120+H133+H137+H148+H151</f>
        <v>70440.899999999994</v>
      </c>
    </row>
    <row r="155" spans="1:8" ht="18.600000000000001" customHeight="1" x14ac:dyDescent="0.25">
      <c r="A155" s="52">
        <v>5</v>
      </c>
      <c r="B155" s="53" t="s">
        <v>135</v>
      </c>
      <c r="C155" s="5" t="s">
        <v>8</v>
      </c>
      <c r="D155" s="5" t="s">
        <v>136</v>
      </c>
      <c r="E155" s="15">
        <f>E156+E160</f>
        <v>90035.209999999992</v>
      </c>
      <c r="F155" s="15">
        <f>F156+F160</f>
        <v>90006.44</v>
      </c>
      <c r="G155" s="16" t="s">
        <v>550</v>
      </c>
      <c r="H155" s="17">
        <f>H156+H160</f>
        <v>90006.44</v>
      </c>
    </row>
    <row r="156" spans="1:8" ht="24" x14ac:dyDescent="0.25">
      <c r="A156" s="42"/>
      <c r="B156" s="44"/>
      <c r="C156" s="7" t="s">
        <v>21</v>
      </c>
      <c r="D156" s="7" t="s">
        <v>137</v>
      </c>
      <c r="E156" s="8">
        <f>E157+E158+E159</f>
        <v>90035.209999999992</v>
      </c>
      <c r="F156" s="8">
        <f>F157+F158+F159</f>
        <v>90006.44</v>
      </c>
      <c r="G156" s="12" t="s">
        <v>550</v>
      </c>
      <c r="H156" s="13">
        <f>H157+H158+H159</f>
        <v>90006.44</v>
      </c>
    </row>
    <row r="157" spans="1:8" ht="24" x14ac:dyDescent="0.25">
      <c r="A157" s="42"/>
      <c r="B157" s="44"/>
      <c r="C157" s="9" t="s">
        <v>525</v>
      </c>
      <c r="D157" s="7" t="s">
        <v>581</v>
      </c>
      <c r="E157" s="8">
        <f>54811.37+12300</f>
        <v>67111.37</v>
      </c>
      <c r="F157" s="8">
        <f>54782.6+12300</f>
        <v>67082.600000000006</v>
      </c>
      <c r="G157" s="12" t="s">
        <v>550</v>
      </c>
      <c r="H157" s="13">
        <f>54782.6+12300</f>
        <v>67082.600000000006</v>
      </c>
    </row>
    <row r="158" spans="1:8" ht="24" x14ac:dyDescent="0.25">
      <c r="A158" s="42"/>
      <c r="B158" s="44"/>
      <c r="C158" s="9" t="s">
        <v>529</v>
      </c>
      <c r="D158" s="7" t="s">
        <v>767</v>
      </c>
      <c r="E158" s="8">
        <f>6107.39</f>
        <v>6107.39</v>
      </c>
      <c r="F158" s="8">
        <f>6107.39</f>
        <v>6107.39</v>
      </c>
      <c r="G158" s="12" t="s">
        <v>550</v>
      </c>
      <c r="H158" s="13">
        <f>6107.39</f>
        <v>6107.39</v>
      </c>
    </row>
    <row r="159" spans="1:8" ht="24" x14ac:dyDescent="0.25">
      <c r="A159" s="42"/>
      <c r="B159" s="44"/>
      <c r="C159" s="9" t="s">
        <v>539</v>
      </c>
      <c r="D159" s="7" t="s">
        <v>582</v>
      </c>
      <c r="E159" s="8">
        <f>16816.45</f>
        <v>16816.45</v>
      </c>
      <c r="F159" s="8">
        <f>16816.45</f>
        <v>16816.45</v>
      </c>
      <c r="G159" s="12" t="s">
        <v>550</v>
      </c>
      <c r="H159" s="13">
        <f>16816.45</f>
        <v>16816.45</v>
      </c>
    </row>
    <row r="160" spans="1:8" ht="48" x14ac:dyDescent="0.25">
      <c r="A160" s="42"/>
      <c r="B160" s="44"/>
      <c r="C160" s="7" t="s">
        <v>501</v>
      </c>
      <c r="D160" s="7" t="s">
        <v>768</v>
      </c>
      <c r="E160" s="8">
        <f>E161+E162</f>
        <v>0</v>
      </c>
      <c r="F160" s="8">
        <f>F161+F162</f>
        <v>0</v>
      </c>
      <c r="G160" s="12" t="s">
        <v>10</v>
      </c>
      <c r="H160" s="13">
        <f>H161+H162</f>
        <v>0</v>
      </c>
    </row>
    <row r="161" spans="1:8" ht="36" x14ac:dyDescent="0.25">
      <c r="A161" s="42"/>
      <c r="B161" s="44"/>
      <c r="C161" s="9" t="s">
        <v>583</v>
      </c>
      <c r="D161" s="7" t="s">
        <v>584</v>
      </c>
      <c r="E161" s="8">
        <f>0</f>
        <v>0</v>
      </c>
      <c r="F161" s="8">
        <f>0</f>
        <v>0</v>
      </c>
      <c r="G161" s="12" t="s">
        <v>10</v>
      </c>
      <c r="H161" s="13">
        <f>0</f>
        <v>0</v>
      </c>
    </row>
    <row r="162" spans="1:8" ht="48" x14ac:dyDescent="0.25">
      <c r="A162" s="42"/>
      <c r="B162" s="44"/>
      <c r="C162" s="9" t="s">
        <v>769</v>
      </c>
      <c r="D162" s="7" t="s">
        <v>770</v>
      </c>
      <c r="E162" s="8">
        <f>0</f>
        <v>0</v>
      </c>
      <c r="F162" s="8">
        <f>0</f>
        <v>0</v>
      </c>
      <c r="G162" s="12" t="s">
        <v>10</v>
      </c>
      <c r="H162" s="13">
        <f>0</f>
        <v>0</v>
      </c>
    </row>
    <row r="163" spans="1:8" x14ac:dyDescent="0.25">
      <c r="A163" s="42"/>
      <c r="B163" s="44"/>
      <c r="C163" s="5" t="s">
        <v>25</v>
      </c>
      <c r="D163" s="5" t="s">
        <v>138</v>
      </c>
      <c r="E163" s="6">
        <f>E164+E166</f>
        <v>57699.46</v>
      </c>
      <c r="F163" s="6">
        <f>F164+F166</f>
        <v>57699.46</v>
      </c>
      <c r="G163" s="10" t="s">
        <v>550</v>
      </c>
      <c r="H163" s="11">
        <f>H164+H166</f>
        <v>57699.46</v>
      </c>
    </row>
    <row r="164" spans="1:8" x14ac:dyDescent="0.25">
      <c r="A164" s="42"/>
      <c r="B164" s="44"/>
      <c r="C164" s="7" t="s">
        <v>21</v>
      </c>
      <c r="D164" s="7" t="s">
        <v>138</v>
      </c>
      <c r="E164" s="8">
        <f>E165</f>
        <v>42699.46</v>
      </c>
      <c r="F164" s="8">
        <f>F165</f>
        <v>42699.46</v>
      </c>
      <c r="G164" s="12" t="s">
        <v>550</v>
      </c>
      <c r="H164" s="13">
        <f>H165</f>
        <v>42699.46</v>
      </c>
    </row>
    <row r="165" spans="1:8" ht="21.6" customHeight="1" x14ac:dyDescent="0.25">
      <c r="A165" s="42"/>
      <c r="B165" s="44"/>
      <c r="C165" s="9" t="s">
        <v>525</v>
      </c>
      <c r="D165" s="7" t="s">
        <v>585</v>
      </c>
      <c r="E165" s="8">
        <f>42699.46</f>
        <v>42699.46</v>
      </c>
      <c r="F165" s="8">
        <f>42699.46</f>
        <v>42699.46</v>
      </c>
      <c r="G165" s="12" t="s">
        <v>550</v>
      </c>
      <c r="H165" s="13">
        <f>42699.46</f>
        <v>42699.46</v>
      </c>
    </row>
    <row r="166" spans="1:8" ht="18" customHeight="1" x14ac:dyDescent="0.25">
      <c r="A166" s="42"/>
      <c r="B166" s="44"/>
      <c r="C166" s="7" t="s">
        <v>11</v>
      </c>
      <c r="D166" s="7" t="s">
        <v>139</v>
      </c>
      <c r="E166" s="8">
        <f>E167</f>
        <v>15000</v>
      </c>
      <c r="F166" s="8">
        <f>F167</f>
        <v>15000</v>
      </c>
      <c r="G166" s="12" t="s">
        <v>550</v>
      </c>
      <c r="H166" s="13">
        <f>H167</f>
        <v>15000</v>
      </c>
    </row>
    <row r="167" spans="1:8" ht="18" customHeight="1" x14ac:dyDescent="0.25">
      <c r="A167" s="42"/>
      <c r="B167" s="44"/>
      <c r="C167" s="9" t="s">
        <v>563</v>
      </c>
      <c r="D167" s="7" t="s">
        <v>586</v>
      </c>
      <c r="E167" s="8">
        <f>3315+11685</f>
        <v>15000</v>
      </c>
      <c r="F167" s="8">
        <f>3315+11685</f>
        <v>15000</v>
      </c>
      <c r="G167" s="12" t="s">
        <v>550</v>
      </c>
      <c r="H167" s="13">
        <f>3315+11685</f>
        <v>15000</v>
      </c>
    </row>
    <row r="168" spans="1:8" ht="18" customHeight="1" x14ac:dyDescent="0.25">
      <c r="A168" s="42"/>
      <c r="B168" s="44"/>
      <c r="C168" s="5" t="s">
        <v>29</v>
      </c>
      <c r="D168" s="5" t="s">
        <v>40</v>
      </c>
      <c r="E168" s="6">
        <f>E169</f>
        <v>4917</v>
      </c>
      <c r="F168" s="6">
        <f>F169</f>
        <v>4917</v>
      </c>
      <c r="G168" s="10" t="s">
        <v>550</v>
      </c>
      <c r="H168" s="11">
        <f>H169</f>
        <v>4917</v>
      </c>
    </row>
    <row r="169" spans="1:8" ht="23.45" customHeight="1" x14ac:dyDescent="0.25">
      <c r="A169" s="42"/>
      <c r="B169" s="44"/>
      <c r="C169" s="7" t="s">
        <v>21</v>
      </c>
      <c r="D169" s="7" t="s">
        <v>41</v>
      </c>
      <c r="E169" s="8">
        <f>E170+E171</f>
        <v>4917</v>
      </c>
      <c r="F169" s="8">
        <f>F170+F171</f>
        <v>4917</v>
      </c>
      <c r="G169" s="12" t="s">
        <v>550</v>
      </c>
      <c r="H169" s="13">
        <f>H170+H171</f>
        <v>4917</v>
      </c>
    </row>
    <row r="170" spans="1:8" x14ac:dyDescent="0.25">
      <c r="A170" s="42"/>
      <c r="B170" s="44"/>
      <c r="C170" s="9" t="s">
        <v>525</v>
      </c>
      <c r="D170" s="7" t="s">
        <v>587</v>
      </c>
      <c r="E170" s="8">
        <f>4917</f>
        <v>4917</v>
      </c>
      <c r="F170" s="8">
        <f>4917</f>
        <v>4917</v>
      </c>
      <c r="G170" s="12" t="s">
        <v>550</v>
      </c>
      <c r="H170" s="13">
        <f>4917</f>
        <v>4917</v>
      </c>
    </row>
    <row r="171" spans="1:8" ht="25.15" customHeight="1" x14ac:dyDescent="0.25">
      <c r="A171" s="42"/>
      <c r="B171" s="44"/>
      <c r="C171" s="9" t="s">
        <v>529</v>
      </c>
      <c r="D171" s="7" t="s">
        <v>771</v>
      </c>
      <c r="E171" s="8">
        <f>0</f>
        <v>0</v>
      </c>
      <c r="F171" s="8">
        <f>0</f>
        <v>0</v>
      </c>
      <c r="G171" s="12" t="s">
        <v>10</v>
      </c>
      <c r="H171" s="13">
        <f>0</f>
        <v>0</v>
      </c>
    </row>
    <row r="172" spans="1:8" ht="15.75" thickBot="1" x14ac:dyDescent="0.3">
      <c r="A172" s="45" t="s">
        <v>18</v>
      </c>
      <c r="B172" s="46"/>
      <c r="C172" s="46"/>
      <c r="D172" s="46"/>
      <c r="E172" s="32">
        <f>E155+E163+E168</f>
        <v>152651.66999999998</v>
      </c>
      <c r="F172" s="29">
        <f>F155+F163+F168</f>
        <v>152622.9</v>
      </c>
      <c r="G172" s="30" t="s">
        <v>550</v>
      </c>
      <c r="H172" s="31">
        <f>H155+H163+H168</f>
        <v>152622.9</v>
      </c>
    </row>
    <row r="173" spans="1:8" ht="14.45" customHeight="1" x14ac:dyDescent="0.25">
      <c r="A173" s="58">
        <v>6</v>
      </c>
      <c r="B173" s="59" t="s">
        <v>140</v>
      </c>
      <c r="C173" s="5" t="s">
        <v>20</v>
      </c>
      <c r="D173" s="5" t="s">
        <v>588</v>
      </c>
      <c r="E173" s="15">
        <f>E174</f>
        <v>100</v>
      </c>
      <c r="F173" s="15">
        <f>F174</f>
        <v>49.59</v>
      </c>
      <c r="G173" s="16" t="s">
        <v>551</v>
      </c>
      <c r="H173" s="17">
        <f>H174</f>
        <v>49.59</v>
      </c>
    </row>
    <row r="174" spans="1:8" ht="36" x14ac:dyDescent="0.25">
      <c r="A174" s="48"/>
      <c r="B174" s="60"/>
      <c r="C174" s="7" t="s">
        <v>21</v>
      </c>
      <c r="D174" s="7" t="s">
        <v>589</v>
      </c>
      <c r="E174" s="8">
        <f>E175</f>
        <v>100</v>
      </c>
      <c r="F174" s="8">
        <f>F175</f>
        <v>49.59</v>
      </c>
      <c r="G174" s="12" t="s">
        <v>551</v>
      </c>
      <c r="H174" s="13">
        <f>H175</f>
        <v>49.59</v>
      </c>
    </row>
    <row r="175" spans="1:8" ht="24" x14ac:dyDescent="0.25">
      <c r="A175" s="48"/>
      <c r="B175" s="60"/>
      <c r="C175" s="9" t="s">
        <v>529</v>
      </c>
      <c r="D175" s="7" t="s">
        <v>590</v>
      </c>
      <c r="E175" s="8">
        <f>100</f>
        <v>100</v>
      </c>
      <c r="F175" s="8">
        <f>49.59</f>
        <v>49.59</v>
      </c>
      <c r="G175" s="12" t="s">
        <v>551</v>
      </c>
      <c r="H175" s="13">
        <f>49.59</f>
        <v>49.59</v>
      </c>
    </row>
    <row r="176" spans="1:8" ht="24" x14ac:dyDescent="0.25">
      <c r="A176" s="48"/>
      <c r="B176" s="60"/>
      <c r="C176" s="5" t="s">
        <v>29</v>
      </c>
      <c r="D176" s="5" t="s">
        <v>141</v>
      </c>
      <c r="E176" s="6">
        <f>E177</f>
        <v>2588</v>
      </c>
      <c r="F176" s="6">
        <f>F177</f>
        <v>655.36</v>
      </c>
      <c r="G176" s="10" t="s">
        <v>772</v>
      </c>
      <c r="H176" s="11">
        <f>H177</f>
        <v>655.36</v>
      </c>
    </row>
    <row r="177" spans="1:8" ht="36" x14ac:dyDescent="0.25">
      <c r="A177" s="48"/>
      <c r="B177" s="60"/>
      <c r="C177" s="7" t="s">
        <v>21</v>
      </c>
      <c r="D177" s="7" t="s">
        <v>142</v>
      </c>
      <c r="E177" s="8">
        <f>E178</f>
        <v>2588</v>
      </c>
      <c r="F177" s="8">
        <f>F178</f>
        <v>655.36</v>
      </c>
      <c r="G177" s="12" t="s">
        <v>772</v>
      </c>
      <c r="H177" s="13">
        <f>H178</f>
        <v>655.36</v>
      </c>
    </row>
    <row r="178" spans="1:8" ht="36" x14ac:dyDescent="0.25">
      <c r="A178" s="49"/>
      <c r="B178" s="61"/>
      <c r="C178" s="9" t="s">
        <v>525</v>
      </c>
      <c r="D178" s="7" t="s">
        <v>474</v>
      </c>
      <c r="E178" s="8">
        <f>2588</f>
        <v>2588</v>
      </c>
      <c r="F178" s="8">
        <f>655.36</f>
        <v>655.36</v>
      </c>
      <c r="G178" s="12" t="s">
        <v>772</v>
      </c>
      <c r="H178" s="13">
        <f>655.36</f>
        <v>655.36</v>
      </c>
    </row>
    <row r="179" spans="1:8" ht="15.75" thickBot="1" x14ac:dyDescent="0.3">
      <c r="A179" s="54" t="s">
        <v>18</v>
      </c>
      <c r="B179" s="55"/>
      <c r="C179" s="55"/>
      <c r="D179" s="55"/>
      <c r="E179" s="32">
        <f>E173+E176</f>
        <v>2688</v>
      </c>
      <c r="F179" s="29">
        <f>F173+F176</f>
        <v>704.95</v>
      </c>
      <c r="G179" s="30" t="s">
        <v>773</v>
      </c>
      <c r="H179" s="31">
        <f>H173+H176</f>
        <v>704.95</v>
      </c>
    </row>
    <row r="180" spans="1:8" x14ac:dyDescent="0.25">
      <c r="A180" s="51">
        <v>7</v>
      </c>
      <c r="B180" s="47" t="s">
        <v>143</v>
      </c>
      <c r="C180" s="5" t="s">
        <v>8</v>
      </c>
      <c r="D180" s="5" t="s">
        <v>453</v>
      </c>
      <c r="E180" s="15">
        <f>E181+E186</f>
        <v>1189.18</v>
      </c>
      <c r="F180" s="15">
        <f>F181+F186</f>
        <v>1172.1600000000001</v>
      </c>
      <c r="G180" s="16" t="s">
        <v>774</v>
      </c>
      <c r="H180" s="17">
        <f>H181+H186</f>
        <v>1172.1600000000001</v>
      </c>
    </row>
    <row r="181" spans="1:8" x14ac:dyDescent="0.25">
      <c r="A181" s="51"/>
      <c r="B181" s="47"/>
      <c r="C181" s="7" t="s">
        <v>21</v>
      </c>
      <c r="D181" s="7" t="s">
        <v>454</v>
      </c>
      <c r="E181" s="8">
        <f>E182+E184</f>
        <v>93.92</v>
      </c>
      <c r="F181" s="8">
        <f>F182+F184</f>
        <v>93.91</v>
      </c>
      <c r="G181" s="12" t="s">
        <v>550</v>
      </c>
      <c r="H181" s="13">
        <f>H182+H184</f>
        <v>93.91</v>
      </c>
    </row>
    <row r="182" spans="1:8" x14ac:dyDescent="0.25">
      <c r="A182" s="51"/>
      <c r="B182" s="47"/>
      <c r="C182" s="9" t="s">
        <v>525</v>
      </c>
      <c r="D182" s="7" t="s">
        <v>454</v>
      </c>
      <c r="E182" s="8">
        <f>E183</f>
        <v>39.86</v>
      </c>
      <c r="F182" s="8">
        <f>F183</f>
        <v>39.85</v>
      </c>
      <c r="G182" s="12" t="s">
        <v>550</v>
      </c>
      <c r="H182" s="13">
        <f>H183</f>
        <v>39.85</v>
      </c>
    </row>
    <row r="183" spans="1:8" ht="24" x14ac:dyDescent="0.25">
      <c r="A183" s="51"/>
      <c r="B183" s="47"/>
      <c r="C183" s="9" t="s">
        <v>526</v>
      </c>
      <c r="D183" s="7" t="s">
        <v>775</v>
      </c>
      <c r="E183" s="8">
        <f>39.86</f>
        <v>39.86</v>
      </c>
      <c r="F183" s="8">
        <f>39.85</f>
        <v>39.85</v>
      </c>
      <c r="G183" s="12" t="s">
        <v>550</v>
      </c>
      <c r="H183" s="13">
        <f>39.85</f>
        <v>39.85</v>
      </c>
    </row>
    <row r="184" spans="1:8" ht="82.15" customHeight="1" x14ac:dyDescent="0.25">
      <c r="A184" s="51"/>
      <c r="B184" s="47"/>
      <c r="C184" s="9" t="s">
        <v>529</v>
      </c>
      <c r="D184" s="7" t="s">
        <v>776</v>
      </c>
      <c r="E184" s="8">
        <f>E185</f>
        <v>54.06</v>
      </c>
      <c r="F184" s="8">
        <f>F185</f>
        <v>54.06</v>
      </c>
      <c r="G184" s="12" t="s">
        <v>550</v>
      </c>
      <c r="H184" s="13">
        <f>H185</f>
        <v>54.06</v>
      </c>
    </row>
    <row r="185" spans="1:8" ht="96" x14ac:dyDescent="0.25">
      <c r="A185" s="51"/>
      <c r="B185" s="47"/>
      <c r="C185" s="9" t="s">
        <v>530</v>
      </c>
      <c r="D185" s="7" t="s">
        <v>777</v>
      </c>
      <c r="E185" s="8">
        <f>54.06</f>
        <v>54.06</v>
      </c>
      <c r="F185" s="8">
        <f>54.06</f>
        <v>54.06</v>
      </c>
      <c r="G185" s="12" t="s">
        <v>550</v>
      </c>
      <c r="H185" s="13">
        <f>54.06</f>
        <v>54.06</v>
      </c>
    </row>
    <row r="186" spans="1:8" x14ac:dyDescent="0.25">
      <c r="A186" s="51"/>
      <c r="B186" s="47"/>
      <c r="C186" s="7" t="s">
        <v>11</v>
      </c>
      <c r="D186" s="7" t="s">
        <v>455</v>
      </c>
      <c r="E186" s="8">
        <f>E187</f>
        <v>1095.26</v>
      </c>
      <c r="F186" s="8">
        <f>F187</f>
        <v>1078.25</v>
      </c>
      <c r="G186" s="12" t="s">
        <v>758</v>
      </c>
      <c r="H186" s="13">
        <f>H187</f>
        <v>1078.25</v>
      </c>
    </row>
    <row r="187" spans="1:8" x14ac:dyDescent="0.25">
      <c r="A187" s="51"/>
      <c r="B187" s="47"/>
      <c r="C187" s="9" t="s">
        <v>523</v>
      </c>
      <c r="D187" s="7" t="s">
        <v>455</v>
      </c>
      <c r="E187" s="8">
        <f>E188+E189+E190</f>
        <v>1095.26</v>
      </c>
      <c r="F187" s="8">
        <f>F188+F189+F190</f>
        <v>1078.25</v>
      </c>
      <c r="G187" s="12" t="s">
        <v>758</v>
      </c>
      <c r="H187" s="13">
        <f>H188+H189+H190</f>
        <v>1078.25</v>
      </c>
    </row>
    <row r="188" spans="1:8" x14ac:dyDescent="0.25">
      <c r="A188" s="51"/>
      <c r="B188" s="47"/>
      <c r="C188" s="9" t="s">
        <v>591</v>
      </c>
      <c r="D188" s="7" t="s">
        <v>455</v>
      </c>
      <c r="E188" s="8">
        <f>43.26</f>
        <v>43.26</v>
      </c>
      <c r="F188" s="8">
        <f>26.7</f>
        <v>26.7</v>
      </c>
      <c r="G188" s="12" t="s">
        <v>778</v>
      </c>
      <c r="H188" s="13">
        <f>26.7</f>
        <v>26.7</v>
      </c>
    </row>
    <row r="189" spans="1:8" x14ac:dyDescent="0.25">
      <c r="A189" s="51"/>
      <c r="B189" s="47"/>
      <c r="C189" s="9" t="s">
        <v>592</v>
      </c>
      <c r="D189" s="7" t="s">
        <v>456</v>
      </c>
      <c r="E189" s="8">
        <f>1036</f>
        <v>1036</v>
      </c>
      <c r="F189" s="8">
        <f>1036</f>
        <v>1036</v>
      </c>
      <c r="G189" s="12" t="s">
        <v>550</v>
      </c>
      <c r="H189" s="13">
        <f>1036</f>
        <v>1036</v>
      </c>
    </row>
    <row r="190" spans="1:8" x14ac:dyDescent="0.25">
      <c r="A190" s="51"/>
      <c r="B190" s="47"/>
      <c r="C190" s="9" t="s">
        <v>779</v>
      </c>
      <c r="D190" s="7" t="s">
        <v>780</v>
      </c>
      <c r="E190" s="8">
        <f>16</f>
        <v>16</v>
      </c>
      <c r="F190" s="8">
        <f>15.55</f>
        <v>15.55</v>
      </c>
      <c r="G190" s="12" t="s">
        <v>781</v>
      </c>
      <c r="H190" s="13">
        <f>15.55</f>
        <v>15.55</v>
      </c>
    </row>
    <row r="191" spans="1:8" ht="15.75" thickBot="1" x14ac:dyDescent="0.3">
      <c r="A191" s="38" t="s">
        <v>18</v>
      </c>
      <c r="B191" s="39"/>
      <c r="C191" s="39"/>
      <c r="D191" s="40"/>
      <c r="E191" s="32">
        <f>E180</f>
        <v>1189.18</v>
      </c>
      <c r="F191" s="29">
        <f>F180</f>
        <v>1172.1600000000001</v>
      </c>
      <c r="G191" s="30" t="s">
        <v>747</v>
      </c>
      <c r="H191" s="31">
        <f>H180</f>
        <v>1172.1600000000001</v>
      </c>
    </row>
    <row r="192" spans="1:8" x14ac:dyDescent="0.25">
      <c r="A192" s="48">
        <v>8</v>
      </c>
      <c r="B192" s="47" t="s">
        <v>144</v>
      </c>
      <c r="C192" s="5" t="s">
        <v>8</v>
      </c>
      <c r="D192" s="5" t="s">
        <v>145</v>
      </c>
      <c r="E192" s="15">
        <f>E193+E202+E207+E215+E218+E222+E223</f>
        <v>24379.399999999998</v>
      </c>
      <c r="F192" s="15">
        <f>F193+F202+F207+F215+F218+F222+F223</f>
        <v>24272.12</v>
      </c>
      <c r="G192" s="16" t="s">
        <v>755</v>
      </c>
      <c r="H192" s="17">
        <f>H193+H202+H207+H215+H218+H222+H223</f>
        <v>24272.12</v>
      </c>
    </row>
    <row r="193" spans="1:8" ht="36" x14ac:dyDescent="0.25">
      <c r="A193" s="48"/>
      <c r="B193" s="47"/>
      <c r="C193" s="7" t="s">
        <v>21</v>
      </c>
      <c r="D193" s="7" t="s">
        <v>782</v>
      </c>
      <c r="E193" s="8">
        <f>E194+E195+E196</f>
        <v>11242.52</v>
      </c>
      <c r="F193" s="8">
        <f>F194+F195+F196</f>
        <v>11211.59</v>
      </c>
      <c r="G193" s="12" t="s">
        <v>569</v>
      </c>
      <c r="H193" s="13">
        <f>H194+H195+H196</f>
        <v>11211.59</v>
      </c>
    </row>
    <row r="194" spans="1:8" ht="24" x14ac:dyDescent="0.25">
      <c r="A194" s="48"/>
      <c r="B194" s="47"/>
      <c r="C194" s="9" t="s">
        <v>525</v>
      </c>
      <c r="D194" s="7" t="s">
        <v>783</v>
      </c>
      <c r="E194" s="8">
        <f>0</f>
        <v>0</v>
      </c>
      <c r="F194" s="8">
        <f>0</f>
        <v>0</v>
      </c>
      <c r="G194" s="12" t="s">
        <v>10</v>
      </c>
      <c r="H194" s="13">
        <f>0</f>
        <v>0</v>
      </c>
    </row>
    <row r="195" spans="1:8" ht="36" x14ac:dyDescent="0.25">
      <c r="A195" s="48"/>
      <c r="B195" s="47"/>
      <c r="C195" s="9" t="s">
        <v>529</v>
      </c>
      <c r="D195" s="7" t="s">
        <v>146</v>
      </c>
      <c r="E195" s="8">
        <f>928.14</f>
        <v>928.14</v>
      </c>
      <c r="F195" s="8">
        <f>927.86</f>
        <v>927.86</v>
      </c>
      <c r="G195" s="12" t="s">
        <v>550</v>
      </c>
      <c r="H195" s="13">
        <f>927.86</f>
        <v>927.86</v>
      </c>
    </row>
    <row r="196" spans="1:8" ht="48" x14ac:dyDescent="0.25">
      <c r="A196" s="48"/>
      <c r="B196" s="47"/>
      <c r="C196" s="9" t="s">
        <v>539</v>
      </c>
      <c r="D196" s="7" t="s">
        <v>784</v>
      </c>
      <c r="E196" s="8">
        <f>E197+E198+E199+E200+E201</f>
        <v>10314.380000000001</v>
      </c>
      <c r="F196" s="8">
        <f>F197+F198+F199+F200+F201</f>
        <v>10283.73</v>
      </c>
      <c r="G196" s="12" t="s">
        <v>569</v>
      </c>
      <c r="H196" s="13">
        <f>H197+H198+H199+H200+H201</f>
        <v>10283.73</v>
      </c>
    </row>
    <row r="197" spans="1:8" x14ac:dyDescent="0.25">
      <c r="A197" s="48"/>
      <c r="B197" s="47"/>
      <c r="C197" s="9" t="s">
        <v>593</v>
      </c>
      <c r="D197" s="7" t="s">
        <v>397</v>
      </c>
      <c r="E197" s="8">
        <f>7455.71</f>
        <v>7455.71</v>
      </c>
      <c r="F197" s="8">
        <f>7450.09</f>
        <v>7450.09</v>
      </c>
      <c r="G197" s="12" t="s">
        <v>738</v>
      </c>
      <c r="H197" s="13">
        <f>7450.09</f>
        <v>7450.09</v>
      </c>
    </row>
    <row r="198" spans="1:8" x14ac:dyDescent="0.25">
      <c r="A198" s="48"/>
      <c r="B198" s="47"/>
      <c r="C198" s="9" t="s">
        <v>594</v>
      </c>
      <c r="D198" s="7" t="s">
        <v>398</v>
      </c>
      <c r="E198" s="8">
        <f>1573.66</f>
        <v>1573.66</v>
      </c>
      <c r="F198" s="8">
        <f>1553.83</f>
        <v>1553.83</v>
      </c>
      <c r="G198" s="12" t="s">
        <v>756</v>
      </c>
      <c r="H198" s="13">
        <f>1553.83</f>
        <v>1553.83</v>
      </c>
    </row>
    <row r="199" spans="1:8" x14ac:dyDescent="0.25">
      <c r="A199" s="48"/>
      <c r="B199" s="47"/>
      <c r="C199" s="9" t="s">
        <v>595</v>
      </c>
      <c r="D199" s="7" t="s">
        <v>399</v>
      </c>
      <c r="E199" s="8">
        <f>603.51</f>
        <v>603.51</v>
      </c>
      <c r="F199" s="8">
        <f>600.31</f>
        <v>600.30999999999995</v>
      </c>
      <c r="G199" s="12" t="s">
        <v>741</v>
      </c>
      <c r="H199" s="13">
        <f>600.31</f>
        <v>600.30999999999995</v>
      </c>
    </row>
    <row r="200" spans="1:8" ht="24" x14ac:dyDescent="0.25">
      <c r="A200" s="48"/>
      <c r="B200" s="47"/>
      <c r="C200" s="9" t="s">
        <v>596</v>
      </c>
      <c r="D200" s="7" t="s">
        <v>400</v>
      </c>
      <c r="E200" s="8">
        <f>21.5</f>
        <v>21.5</v>
      </c>
      <c r="F200" s="8">
        <f>19.5</f>
        <v>19.5</v>
      </c>
      <c r="G200" s="12" t="s">
        <v>785</v>
      </c>
      <c r="H200" s="13">
        <f>19.5</f>
        <v>19.5</v>
      </c>
    </row>
    <row r="201" spans="1:8" ht="24" x14ac:dyDescent="0.25">
      <c r="A201" s="48"/>
      <c r="B201" s="47"/>
      <c r="C201" s="9" t="s">
        <v>597</v>
      </c>
      <c r="D201" s="7" t="s">
        <v>401</v>
      </c>
      <c r="E201" s="8">
        <f>660</f>
        <v>660</v>
      </c>
      <c r="F201" s="8">
        <f>660</f>
        <v>660</v>
      </c>
      <c r="G201" s="12" t="s">
        <v>550</v>
      </c>
      <c r="H201" s="13">
        <f>660</f>
        <v>660</v>
      </c>
    </row>
    <row r="202" spans="1:8" ht="24" x14ac:dyDescent="0.25">
      <c r="A202" s="48"/>
      <c r="B202" s="47"/>
      <c r="C202" s="7" t="s">
        <v>36</v>
      </c>
      <c r="D202" s="7" t="s">
        <v>147</v>
      </c>
      <c r="E202" s="8">
        <f>E203+E204+E205+E206</f>
        <v>28.8</v>
      </c>
      <c r="F202" s="8">
        <f>F203+F204+F205+F206</f>
        <v>28.8</v>
      </c>
      <c r="G202" s="12" t="s">
        <v>550</v>
      </c>
      <c r="H202" s="13">
        <f>H203+H204+H205+H206</f>
        <v>28.8</v>
      </c>
    </row>
    <row r="203" spans="1:8" ht="24" x14ac:dyDescent="0.25">
      <c r="A203" s="48"/>
      <c r="B203" s="47"/>
      <c r="C203" s="9" t="s">
        <v>540</v>
      </c>
      <c r="D203" s="7" t="s">
        <v>786</v>
      </c>
      <c r="E203" s="8">
        <f>0</f>
        <v>0</v>
      </c>
      <c r="F203" s="8">
        <f>0</f>
        <v>0</v>
      </c>
      <c r="G203" s="12" t="s">
        <v>10</v>
      </c>
      <c r="H203" s="13">
        <f>0</f>
        <v>0</v>
      </c>
    </row>
    <row r="204" spans="1:8" x14ac:dyDescent="0.25">
      <c r="A204" s="48"/>
      <c r="B204" s="47"/>
      <c r="C204" s="9" t="s">
        <v>541</v>
      </c>
      <c r="D204" s="7" t="s">
        <v>148</v>
      </c>
      <c r="E204" s="8">
        <f>28.8</f>
        <v>28.8</v>
      </c>
      <c r="F204" s="8">
        <f>28.8</f>
        <v>28.8</v>
      </c>
      <c r="G204" s="12" t="s">
        <v>550</v>
      </c>
      <c r="H204" s="13">
        <f>28.8</f>
        <v>28.8</v>
      </c>
    </row>
    <row r="205" spans="1:8" ht="24" x14ac:dyDescent="0.25">
      <c r="A205" s="48"/>
      <c r="B205" s="47"/>
      <c r="C205" s="9" t="s">
        <v>542</v>
      </c>
      <c r="D205" s="7" t="s">
        <v>787</v>
      </c>
      <c r="E205" s="8">
        <f>0</f>
        <v>0</v>
      </c>
      <c r="F205" s="8">
        <f>0</f>
        <v>0</v>
      </c>
      <c r="G205" s="12" t="s">
        <v>10</v>
      </c>
      <c r="H205" s="13">
        <f>0</f>
        <v>0</v>
      </c>
    </row>
    <row r="206" spans="1:8" ht="24" x14ac:dyDescent="0.25">
      <c r="A206" s="48"/>
      <c r="B206" s="47"/>
      <c r="C206" s="9" t="s">
        <v>543</v>
      </c>
      <c r="D206" s="7" t="s">
        <v>149</v>
      </c>
      <c r="E206" s="8">
        <f>0</f>
        <v>0</v>
      </c>
      <c r="F206" s="8">
        <f>0</f>
        <v>0</v>
      </c>
      <c r="G206" s="12" t="s">
        <v>10</v>
      </c>
      <c r="H206" s="13">
        <f>0</f>
        <v>0</v>
      </c>
    </row>
    <row r="207" spans="1:8" ht="36" x14ac:dyDescent="0.25">
      <c r="A207" s="48"/>
      <c r="B207" s="47"/>
      <c r="C207" s="7" t="s">
        <v>11</v>
      </c>
      <c r="D207" s="7" t="s">
        <v>150</v>
      </c>
      <c r="E207" s="8">
        <f>E208+E209+E210+E211+E212+E214</f>
        <v>421.91</v>
      </c>
      <c r="F207" s="8">
        <f>F208+F209+F210+F211+F212+F214</f>
        <v>421.9</v>
      </c>
      <c r="G207" s="12" t="s">
        <v>550</v>
      </c>
      <c r="H207" s="13">
        <f>H208+H209+H210+H211+H212+H214</f>
        <v>421.9</v>
      </c>
    </row>
    <row r="208" spans="1:8" ht="108" x14ac:dyDescent="0.25">
      <c r="A208" s="48"/>
      <c r="B208" s="47"/>
      <c r="C208" s="9" t="s">
        <v>523</v>
      </c>
      <c r="D208" s="7" t="s">
        <v>151</v>
      </c>
      <c r="E208" s="8">
        <f>0</f>
        <v>0</v>
      </c>
      <c r="F208" s="8">
        <f>0</f>
        <v>0</v>
      </c>
      <c r="G208" s="12" t="s">
        <v>10</v>
      </c>
      <c r="H208" s="13">
        <f>0</f>
        <v>0</v>
      </c>
    </row>
    <row r="209" spans="1:8" ht="96" x14ac:dyDescent="0.25">
      <c r="A209" s="48"/>
      <c r="B209" s="47"/>
      <c r="C209" s="9" t="s">
        <v>524</v>
      </c>
      <c r="D209" s="7" t="s">
        <v>152</v>
      </c>
      <c r="E209" s="8">
        <f>0</f>
        <v>0</v>
      </c>
      <c r="F209" s="8">
        <f>0</f>
        <v>0</v>
      </c>
      <c r="G209" s="12" t="s">
        <v>10</v>
      </c>
      <c r="H209" s="13">
        <f>0</f>
        <v>0</v>
      </c>
    </row>
    <row r="210" spans="1:8" ht="36" x14ac:dyDescent="0.25">
      <c r="A210" s="48"/>
      <c r="B210" s="47"/>
      <c r="C210" s="9" t="s">
        <v>563</v>
      </c>
      <c r="D210" s="7" t="s">
        <v>475</v>
      </c>
      <c r="E210" s="8">
        <f>0</f>
        <v>0</v>
      </c>
      <c r="F210" s="8">
        <f>0</f>
        <v>0</v>
      </c>
      <c r="G210" s="12" t="s">
        <v>10</v>
      </c>
      <c r="H210" s="13">
        <f>0</f>
        <v>0</v>
      </c>
    </row>
    <row r="211" spans="1:8" x14ac:dyDescent="0.25">
      <c r="A211" s="48"/>
      <c r="B211" s="47"/>
      <c r="C211" s="9" t="s">
        <v>556</v>
      </c>
      <c r="D211" s="7" t="s">
        <v>153</v>
      </c>
      <c r="E211" s="8">
        <f>56</f>
        <v>56</v>
      </c>
      <c r="F211" s="8">
        <f>56</f>
        <v>56</v>
      </c>
      <c r="G211" s="12" t="s">
        <v>550</v>
      </c>
      <c r="H211" s="13">
        <f>56</f>
        <v>56</v>
      </c>
    </row>
    <row r="212" spans="1:8" ht="60" x14ac:dyDescent="0.25">
      <c r="A212" s="48"/>
      <c r="B212" s="47"/>
      <c r="C212" s="9" t="s">
        <v>557</v>
      </c>
      <c r="D212" s="7" t="s">
        <v>788</v>
      </c>
      <c r="E212" s="8">
        <f>E213</f>
        <v>12</v>
      </c>
      <c r="F212" s="8">
        <f>F213</f>
        <v>12</v>
      </c>
      <c r="G212" s="12" t="s">
        <v>550</v>
      </c>
      <c r="H212" s="13">
        <f>H213</f>
        <v>12</v>
      </c>
    </row>
    <row r="213" spans="1:8" ht="48" x14ac:dyDescent="0.25">
      <c r="A213" s="48"/>
      <c r="B213" s="47"/>
      <c r="C213" s="9" t="s">
        <v>789</v>
      </c>
      <c r="D213" s="7" t="s">
        <v>790</v>
      </c>
      <c r="E213" s="8">
        <f>12</f>
        <v>12</v>
      </c>
      <c r="F213" s="8">
        <f>12</f>
        <v>12</v>
      </c>
      <c r="G213" s="12" t="s">
        <v>550</v>
      </c>
      <c r="H213" s="13">
        <f>12</f>
        <v>12</v>
      </c>
    </row>
    <row r="214" spans="1:8" ht="48" x14ac:dyDescent="0.25">
      <c r="A214" s="48"/>
      <c r="B214" s="47"/>
      <c r="C214" s="9" t="s">
        <v>560</v>
      </c>
      <c r="D214" s="7" t="s">
        <v>402</v>
      </c>
      <c r="E214" s="8">
        <f>353.91</f>
        <v>353.91</v>
      </c>
      <c r="F214" s="8">
        <f>353.9</f>
        <v>353.9</v>
      </c>
      <c r="G214" s="12" t="s">
        <v>550</v>
      </c>
      <c r="H214" s="13">
        <f>353.9</f>
        <v>353.9</v>
      </c>
    </row>
    <row r="215" spans="1:8" ht="36" x14ac:dyDescent="0.25">
      <c r="A215" s="48"/>
      <c r="B215" s="47"/>
      <c r="C215" s="7" t="s">
        <v>92</v>
      </c>
      <c r="D215" s="7" t="s">
        <v>154</v>
      </c>
      <c r="E215" s="8">
        <f>E216+E217</f>
        <v>11285.8</v>
      </c>
      <c r="F215" s="8">
        <f>F216+F217</f>
        <v>11278.69</v>
      </c>
      <c r="G215" s="12" t="s">
        <v>738</v>
      </c>
      <c r="H215" s="13">
        <f>H216+H217</f>
        <v>11278.69</v>
      </c>
    </row>
    <row r="216" spans="1:8" ht="24" x14ac:dyDescent="0.25">
      <c r="A216" s="48"/>
      <c r="B216" s="47"/>
      <c r="C216" s="9" t="s">
        <v>598</v>
      </c>
      <c r="D216" s="7" t="s">
        <v>155</v>
      </c>
      <c r="E216" s="8">
        <f>11285.8</f>
        <v>11285.8</v>
      </c>
      <c r="F216" s="8">
        <f>11278.69</f>
        <v>11278.69</v>
      </c>
      <c r="G216" s="12" t="s">
        <v>738</v>
      </c>
      <c r="H216" s="13">
        <f>11278.69</f>
        <v>11278.69</v>
      </c>
    </row>
    <row r="217" spans="1:8" ht="48" x14ac:dyDescent="0.25">
      <c r="A217" s="48"/>
      <c r="B217" s="47"/>
      <c r="C217" s="9" t="s">
        <v>599</v>
      </c>
      <c r="D217" s="7" t="s">
        <v>791</v>
      </c>
      <c r="E217" s="8">
        <f>0</f>
        <v>0</v>
      </c>
      <c r="F217" s="8">
        <f>0</f>
        <v>0</v>
      </c>
      <c r="G217" s="12" t="s">
        <v>10</v>
      </c>
      <c r="H217" s="13">
        <f>0</f>
        <v>0</v>
      </c>
    </row>
    <row r="218" spans="1:8" ht="72" x14ac:dyDescent="0.25">
      <c r="A218" s="48"/>
      <c r="B218" s="47"/>
      <c r="C218" s="7" t="s">
        <v>30</v>
      </c>
      <c r="D218" s="7" t="s">
        <v>156</v>
      </c>
      <c r="E218" s="8">
        <f>E219+E220+E221</f>
        <v>458.37</v>
      </c>
      <c r="F218" s="8">
        <f>F219+F220+F221</f>
        <v>458.37</v>
      </c>
      <c r="G218" s="12" t="s">
        <v>550</v>
      </c>
      <c r="H218" s="13">
        <f>H219+H220+H221</f>
        <v>458.37</v>
      </c>
    </row>
    <row r="219" spans="1:8" ht="60" x14ac:dyDescent="0.25">
      <c r="A219" s="48"/>
      <c r="B219" s="47"/>
      <c r="C219" s="9" t="s">
        <v>535</v>
      </c>
      <c r="D219" s="7" t="s">
        <v>157</v>
      </c>
      <c r="E219" s="8">
        <f>197.87</f>
        <v>197.87</v>
      </c>
      <c r="F219" s="8">
        <f>197.87</f>
        <v>197.87</v>
      </c>
      <c r="G219" s="12" t="s">
        <v>550</v>
      </c>
      <c r="H219" s="13">
        <f>197.87</f>
        <v>197.87</v>
      </c>
    </row>
    <row r="220" spans="1:8" ht="36" x14ac:dyDescent="0.25">
      <c r="A220" s="48"/>
      <c r="B220" s="47"/>
      <c r="C220" s="9" t="s">
        <v>536</v>
      </c>
      <c r="D220" s="7" t="s">
        <v>403</v>
      </c>
      <c r="E220" s="8">
        <f>260.5</f>
        <v>260.5</v>
      </c>
      <c r="F220" s="8">
        <f>260.5</f>
        <v>260.5</v>
      </c>
      <c r="G220" s="12" t="s">
        <v>550</v>
      </c>
      <c r="H220" s="13">
        <f>260.5</f>
        <v>260.5</v>
      </c>
    </row>
    <row r="221" spans="1:8" ht="108" x14ac:dyDescent="0.25">
      <c r="A221" s="48"/>
      <c r="B221" s="47"/>
      <c r="C221" s="9" t="s">
        <v>600</v>
      </c>
      <c r="D221" s="7" t="s">
        <v>158</v>
      </c>
      <c r="E221" s="8">
        <f>0</f>
        <v>0</v>
      </c>
      <c r="F221" s="8">
        <f>0</f>
        <v>0</v>
      </c>
      <c r="G221" s="12" t="s">
        <v>10</v>
      </c>
      <c r="H221" s="13">
        <f>0</f>
        <v>0</v>
      </c>
    </row>
    <row r="222" spans="1:8" ht="60" x14ac:dyDescent="0.25">
      <c r="A222" s="48"/>
      <c r="B222" s="47"/>
      <c r="C222" s="7" t="s">
        <v>93</v>
      </c>
      <c r="D222" s="7" t="s">
        <v>159</v>
      </c>
      <c r="E222" s="8">
        <f>0</f>
        <v>0</v>
      </c>
      <c r="F222" s="8">
        <f>0</f>
        <v>0</v>
      </c>
      <c r="G222" s="12" t="s">
        <v>10</v>
      </c>
      <c r="H222" s="13">
        <f>0</f>
        <v>0</v>
      </c>
    </row>
    <row r="223" spans="1:8" x14ac:dyDescent="0.25">
      <c r="A223" s="48"/>
      <c r="B223" s="47"/>
      <c r="C223" s="7" t="s">
        <v>184</v>
      </c>
      <c r="D223" s="7" t="s">
        <v>792</v>
      </c>
      <c r="E223" s="8">
        <f>E224</f>
        <v>942</v>
      </c>
      <c r="F223" s="8">
        <f>F224</f>
        <v>872.77</v>
      </c>
      <c r="G223" s="12" t="s">
        <v>793</v>
      </c>
      <c r="H223" s="13">
        <f>H224</f>
        <v>872.77</v>
      </c>
    </row>
    <row r="224" spans="1:8" ht="48" x14ac:dyDescent="0.25">
      <c r="A224" s="48"/>
      <c r="B224" s="47"/>
      <c r="C224" s="9" t="s">
        <v>601</v>
      </c>
      <c r="D224" s="7" t="s">
        <v>794</v>
      </c>
      <c r="E224" s="8">
        <f>942</f>
        <v>942</v>
      </c>
      <c r="F224" s="8">
        <f>872.77</f>
        <v>872.77</v>
      </c>
      <c r="G224" s="12" t="s">
        <v>793</v>
      </c>
      <c r="H224" s="13">
        <f>872.77</f>
        <v>872.77</v>
      </c>
    </row>
    <row r="225" spans="1:8" ht="36" x14ac:dyDescent="0.25">
      <c r="A225" s="48"/>
      <c r="B225" s="47"/>
      <c r="C225" s="5" t="s">
        <v>20</v>
      </c>
      <c r="D225" s="5" t="s">
        <v>404</v>
      </c>
      <c r="E225" s="6">
        <f>E226+E246+E250</f>
        <v>1622.9799999999998</v>
      </c>
      <c r="F225" s="6">
        <f>F226+F246+F250</f>
        <v>1622.9799999999998</v>
      </c>
      <c r="G225" s="10" t="s">
        <v>550</v>
      </c>
      <c r="H225" s="11">
        <f>H226+H246+H250</f>
        <v>1622.9799999999998</v>
      </c>
    </row>
    <row r="226" spans="1:8" ht="48" x14ac:dyDescent="0.25">
      <c r="A226" s="48"/>
      <c r="B226" s="47"/>
      <c r="C226" s="7" t="s">
        <v>21</v>
      </c>
      <c r="D226" s="7" t="s">
        <v>795</v>
      </c>
      <c r="E226" s="8">
        <f>E227+E229+E231+E233+E234+E236+E237+E238+E239+E243</f>
        <v>1551.6799999999998</v>
      </c>
      <c r="F226" s="8">
        <f>F227+F229+F231+F233+F234+F236+F237+F238+F239+F243</f>
        <v>1551.6799999999998</v>
      </c>
      <c r="G226" s="12" t="s">
        <v>550</v>
      </c>
      <c r="H226" s="13">
        <f>H227+H229+H231+H233+H234+H236+H237+H238+H239+H243</f>
        <v>1551.6799999999998</v>
      </c>
    </row>
    <row r="227" spans="1:8" ht="48" x14ac:dyDescent="0.25">
      <c r="A227" s="48"/>
      <c r="B227" s="47"/>
      <c r="C227" s="9" t="s">
        <v>525</v>
      </c>
      <c r="D227" s="7" t="s">
        <v>476</v>
      </c>
      <c r="E227" s="8">
        <f>E228</f>
        <v>4.8</v>
      </c>
      <c r="F227" s="8">
        <f>F228</f>
        <v>4.8</v>
      </c>
      <c r="G227" s="12" t="s">
        <v>550</v>
      </c>
      <c r="H227" s="13">
        <f>H228</f>
        <v>4.8</v>
      </c>
    </row>
    <row r="228" spans="1:8" x14ac:dyDescent="0.25">
      <c r="A228" s="48"/>
      <c r="B228" s="47"/>
      <c r="C228" s="9" t="s">
        <v>526</v>
      </c>
      <c r="D228" s="7" t="s">
        <v>413</v>
      </c>
      <c r="E228" s="8">
        <f>4.8</f>
        <v>4.8</v>
      </c>
      <c r="F228" s="8">
        <f>4.8</f>
        <v>4.8</v>
      </c>
      <c r="G228" s="12" t="s">
        <v>550</v>
      </c>
      <c r="H228" s="13">
        <f>4.8</f>
        <v>4.8</v>
      </c>
    </row>
    <row r="229" spans="1:8" x14ac:dyDescent="0.25">
      <c r="A229" s="48"/>
      <c r="B229" s="47"/>
      <c r="C229" s="9" t="s">
        <v>529</v>
      </c>
      <c r="D229" s="7" t="s">
        <v>160</v>
      </c>
      <c r="E229" s="8">
        <f>E230</f>
        <v>35</v>
      </c>
      <c r="F229" s="8">
        <f>F230</f>
        <v>35</v>
      </c>
      <c r="G229" s="12" t="s">
        <v>550</v>
      </c>
      <c r="H229" s="13">
        <f>H230</f>
        <v>35</v>
      </c>
    </row>
    <row r="230" spans="1:8" ht="24" x14ac:dyDescent="0.25">
      <c r="A230" s="48"/>
      <c r="B230" s="47"/>
      <c r="C230" s="9" t="s">
        <v>530</v>
      </c>
      <c r="D230" s="7" t="s">
        <v>412</v>
      </c>
      <c r="E230" s="8">
        <f>35</f>
        <v>35</v>
      </c>
      <c r="F230" s="8">
        <f>35</f>
        <v>35</v>
      </c>
      <c r="G230" s="12" t="s">
        <v>550</v>
      </c>
      <c r="H230" s="13">
        <f>35</f>
        <v>35</v>
      </c>
    </row>
    <row r="231" spans="1:8" ht="36" x14ac:dyDescent="0.25">
      <c r="A231" s="48"/>
      <c r="B231" s="47"/>
      <c r="C231" s="9" t="s">
        <v>539</v>
      </c>
      <c r="D231" s="7" t="s">
        <v>161</v>
      </c>
      <c r="E231" s="8">
        <f>E232</f>
        <v>0</v>
      </c>
      <c r="F231" s="8">
        <f>F232</f>
        <v>0</v>
      </c>
      <c r="G231" s="12" t="s">
        <v>10</v>
      </c>
      <c r="H231" s="13">
        <f>H232</f>
        <v>0</v>
      </c>
    </row>
    <row r="232" spans="1:8" ht="48" x14ac:dyDescent="0.25">
      <c r="A232" s="48"/>
      <c r="B232" s="47"/>
      <c r="C232" s="9" t="s">
        <v>593</v>
      </c>
      <c r="D232" s="7" t="s">
        <v>411</v>
      </c>
      <c r="E232" s="8">
        <f>0</f>
        <v>0</v>
      </c>
      <c r="F232" s="8">
        <f>0</f>
        <v>0</v>
      </c>
      <c r="G232" s="12" t="s">
        <v>10</v>
      </c>
      <c r="H232" s="13">
        <f>0</f>
        <v>0</v>
      </c>
    </row>
    <row r="233" spans="1:8" ht="48" x14ac:dyDescent="0.25">
      <c r="A233" s="48"/>
      <c r="B233" s="47"/>
      <c r="C233" s="9" t="s">
        <v>533</v>
      </c>
      <c r="D233" s="7" t="s">
        <v>477</v>
      </c>
      <c r="E233" s="8">
        <f>0</f>
        <v>0</v>
      </c>
      <c r="F233" s="8">
        <f>0</f>
        <v>0</v>
      </c>
      <c r="G233" s="12" t="s">
        <v>10</v>
      </c>
      <c r="H233" s="13">
        <f>0</f>
        <v>0</v>
      </c>
    </row>
    <row r="234" spans="1:8" ht="24" x14ac:dyDescent="0.25">
      <c r="A234" s="48"/>
      <c r="B234" s="47"/>
      <c r="C234" s="9" t="s">
        <v>534</v>
      </c>
      <c r="D234" s="7" t="s">
        <v>796</v>
      </c>
      <c r="E234" s="8">
        <f>E235</f>
        <v>300</v>
      </c>
      <c r="F234" s="8">
        <f>F235</f>
        <v>300</v>
      </c>
      <c r="G234" s="12" t="s">
        <v>550</v>
      </c>
      <c r="H234" s="13">
        <f>H235</f>
        <v>300</v>
      </c>
    </row>
    <row r="235" spans="1:8" ht="36" x14ac:dyDescent="0.25">
      <c r="A235" s="48"/>
      <c r="B235" s="47"/>
      <c r="C235" s="9" t="s">
        <v>602</v>
      </c>
      <c r="D235" s="7" t="s">
        <v>410</v>
      </c>
      <c r="E235" s="8">
        <f>300</f>
        <v>300</v>
      </c>
      <c r="F235" s="8">
        <f>300</f>
        <v>300</v>
      </c>
      <c r="G235" s="12" t="s">
        <v>550</v>
      </c>
      <c r="H235" s="13">
        <f>300</f>
        <v>300</v>
      </c>
    </row>
    <row r="236" spans="1:8" ht="24" x14ac:dyDescent="0.25">
      <c r="A236" s="48"/>
      <c r="B236" s="47"/>
      <c r="C236" s="9" t="s">
        <v>552</v>
      </c>
      <c r="D236" s="7" t="s">
        <v>797</v>
      </c>
      <c r="E236" s="8">
        <f>0</f>
        <v>0</v>
      </c>
      <c r="F236" s="8">
        <f>0</f>
        <v>0</v>
      </c>
      <c r="G236" s="12" t="s">
        <v>10</v>
      </c>
      <c r="H236" s="13">
        <f>0</f>
        <v>0</v>
      </c>
    </row>
    <row r="237" spans="1:8" ht="48" x14ac:dyDescent="0.25">
      <c r="A237" s="48"/>
      <c r="B237" s="47"/>
      <c r="C237" s="9" t="s">
        <v>553</v>
      </c>
      <c r="D237" s="7" t="s">
        <v>162</v>
      </c>
      <c r="E237" s="8">
        <f>0</f>
        <v>0</v>
      </c>
      <c r="F237" s="8">
        <f>0</f>
        <v>0</v>
      </c>
      <c r="G237" s="12" t="s">
        <v>10</v>
      </c>
      <c r="H237" s="13">
        <f>0</f>
        <v>0</v>
      </c>
    </row>
    <row r="238" spans="1:8" ht="36" x14ac:dyDescent="0.25">
      <c r="A238" s="48"/>
      <c r="B238" s="47"/>
      <c r="C238" s="9" t="s">
        <v>554</v>
      </c>
      <c r="D238" s="7" t="s">
        <v>798</v>
      </c>
      <c r="E238" s="8">
        <f>0</f>
        <v>0</v>
      </c>
      <c r="F238" s="8">
        <f>0</f>
        <v>0</v>
      </c>
      <c r="G238" s="12" t="s">
        <v>10</v>
      </c>
      <c r="H238" s="13">
        <f>0</f>
        <v>0</v>
      </c>
    </row>
    <row r="239" spans="1:8" ht="36" x14ac:dyDescent="0.25">
      <c r="A239" s="48"/>
      <c r="B239" s="47"/>
      <c r="C239" s="9" t="s">
        <v>555</v>
      </c>
      <c r="D239" s="7" t="s">
        <v>799</v>
      </c>
      <c r="E239" s="8">
        <f>E240+E241+E242</f>
        <v>325.52</v>
      </c>
      <c r="F239" s="8">
        <f>F240+F241+F242</f>
        <v>325.52</v>
      </c>
      <c r="G239" s="12" t="s">
        <v>550</v>
      </c>
      <c r="H239" s="13">
        <f>H240+H241+H242</f>
        <v>325.52</v>
      </c>
    </row>
    <row r="240" spans="1:8" x14ac:dyDescent="0.25">
      <c r="A240" s="48"/>
      <c r="B240" s="47"/>
      <c r="C240" s="9" t="s">
        <v>603</v>
      </c>
      <c r="D240" s="7" t="s">
        <v>407</v>
      </c>
      <c r="E240" s="8">
        <f>325.52</f>
        <v>325.52</v>
      </c>
      <c r="F240" s="8">
        <f>325.52</f>
        <v>325.52</v>
      </c>
      <c r="G240" s="12" t="s">
        <v>550</v>
      </c>
      <c r="H240" s="13">
        <f>325.52</f>
        <v>325.52</v>
      </c>
    </row>
    <row r="241" spans="1:8" ht="24" x14ac:dyDescent="0.25">
      <c r="A241" s="48"/>
      <c r="B241" s="47"/>
      <c r="C241" s="9" t="s">
        <v>604</v>
      </c>
      <c r="D241" s="7" t="s">
        <v>408</v>
      </c>
      <c r="E241" s="8">
        <f>0</f>
        <v>0</v>
      </c>
      <c r="F241" s="8">
        <f>0</f>
        <v>0</v>
      </c>
      <c r="G241" s="12" t="s">
        <v>10</v>
      </c>
      <c r="H241" s="13">
        <f>0</f>
        <v>0</v>
      </c>
    </row>
    <row r="242" spans="1:8" ht="24" x14ac:dyDescent="0.25">
      <c r="A242" s="48"/>
      <c r="B242" s="47"/>
      <c r="C242" s="9" t="s">
        <v>605</v>
      </c>
      <c r="D242" s="7" t="s">
        <v>409</v>
      </c>
      <c r="E242" s="8">
        <f>0</f>
        <v>0</v>
      </c>
      <c r="F242" s="8">
        <f>0</f>
        <v>0</v>
      </c>
      <c r="G242" s="12" t="s">
        <v>10</v>
      </c>
      <c r="H242" s="13">
        <f>0</f>
        <v>0</v>
      </c>
    </row>
    <row r="243" spans="1:8" ht="36" x14ac:dyDescent="0.25">
      <c r="A243" s="48"/>
      <c r="B243" s="47"/>
      <c r="C243" s="9" t="s">
        <v>606</v>
      </c>
      <c r="D243" s="7" t="s">
        <v>164</v>
      </c>
      <c r="E243" s="8">
        <f>E244+E245</f>
        <v>886.36</v>
      </c>
      <c r="F243" s="8">
        <f>F244+F245</f>
        <v>886.36</v>
      </c>
      <c r="G243" s="12" t="s">
        <v>550</v>
      </c>
      <c r="H243" s="13">
        <f>H244+H245</f>
        <v>886.36</v>
      </c>
    </row>
    <row r="244" spans="1:8" ht="24" x14ac:dyDescent="0.25">
      <c r="A244" s="48"/>
      <c r="B244" s="47"/>
      <c r="C244" s="9" t="s">
        <v>607</v>
      </c>
      <c r="D244" s="7" t="s">
        <v>405</v>
      </c>
      <c r="E244" s="8">
        <f>847.96</f>
        <v>847.96</v>
      </c>
      <c r="F244" s="8">
        <f>847.96</f>
        <v>847.96</v>
      </c>
      <c r="G244" s="12" t="s">
        <v>550</v>
      </c>
      <c r="H244" s="13">
        <f>847.96</f>
        <v>847.96</v>
      </c>
    </row>
    <row r="245" spans="1:8" ht="24" x14ac:dyDescent="0.25">
      <c r="A245" s="48"/>
      <c r="B245" s="47"/>
      <c r="C245" s="9" t="s">
        <v>608</v>
      </c>
      <c r="D245" s="7" t="s">
        <v>406</v>
      </c>
      <c r="E245" s="8">
        <f>38.4</f>
        <v>38.4</v>
      </c>
      <c r="F245" s="8">
        <f>38.4</f>
        <v>38.4</v>
      </c>
      <c r="G245" s="12" t="s">
        <v>550</v>
      </c>
      <c r="H245" s="13">
        <f>38.4</f>
        <v>38.4</v>
      </c>
    </row>
    <row r="246" spans="1:8" ht="36" x14ac:dyDescent="0.25">
      <c r="A246" s="48"/>
      <c r="B246" s="47"/>
      <c r="C246" s="7" t="s">
        <v>36</v>
      </c>
      <c r="D246" s="7" t="s">
        <v>414</v>
      </c>
      <c r="E246" s="8">
        <f>E247+E249</f>
        <v>71.3</v>
      </c>
      <c r="F246" s="8">
        <f>F247+F249</f>
        <v>71.3</v>
      </c>
      <c r="G246" s="12" t="s">
        <v>550</v>
      </c>
      <c r="H246" s="13">
        <f>H247+H249</f>
        <v>71.3</v>
      </c>
    </row>
    <row r="247" spans="1:8" ht="36" x14ac:dyDescent="0.25">
      <c r="A247" s="48"/>
      <c r="B247" s="47"/>
      <c r="C247" s="9" t="s">
        <v>540</v>
      </c>
      <c r="D247" s="7" t="s">
        <v>800</v>
      </c>
      <c r="E247" s="8">
        <f>E248</f>
        <v>71.3</v>
      </c>
      <c r="F247" s="8">
        <f>F248</f>
        <v>71.3</v>
      </c>
      <c r="G247" s="12" t="s">
        <v>550</v>
      </c>
      <c r="H247" s="13">
        <f>H248</f>
        <v>71.3</v>
      </c>
    </row>
    <row r="248" spans="1:8" ht="24" x14ac:dyDescent="0.25">
      <c r="A248" s="48"/>
      <c r="B248" s="47"/>
      <c r="C248" s="9" t="s">
        <v>609</v>
      </c>
      <c r="D248" s="7" t="s">
        <v>415</v>
      </c>
      <c r="E248" s="8">
        <f>71.3</f>
        <v>71.3</v>
      </c>
      <c r="F248" s="8">
        <f>71.3</f>
        <v>71.3</v>
      </c>
      <c r="G248" s="12" t="s">
        <v>550</v>
      </c>
      <c r="H248" s="13">
        <f>71.3</f>
        <v>71.3</v>
      </c>
    </row>
    <row r="249" spans="1:8" ht="48" x14ac:dyDescent="0.25">
      <c r="A249" s="48"/>
      <c r="B249" s="47"/>
      <c r="C249" s="9" t="s">
        <v>541</v>
      </c>
      <c r="D249" s="7" t="s">
        <v>801</v>
      </c>
      <c r="E249" s="8">
        <f>0</f>
        <v>0</v>
      </c>
      <c r="F249" s="8">
        <f>0</f>
        <v>0</v>
      </c>
      <c r="G249" s="12" t="s">
        <v>10</v>
      </c>
      <c r="H249" s="13">
        <f>0</f>
        <v>0</v>
      </c>
    </row>
    <row r="250" spans="1:8" ht="24" x14ac:dyDescent="0.25">
      <c r="A250" s="48"/>
      <c r="B250" s="47"/>
      <c r="C250" s="7" t="s">
        <v>11</v>
      </c>
      <c r="D250" s="7" t="s">
        <v>165</v>
      </c>
      <c r="E250" s="8">
        <f>E251</f>
        <v>0</v>
      </c>
      <c r="F250" s="8">
        <f>F251</f>
        <v>0</v>
      </c>
      <c r="G250" s="12" t="s">
        <v>10</v>
      </c>
      <c r="H250" s="13">
        <f>H251</f>
        <v>0</v>
      </c>
    </row>
    <row r="251" spans="1:8" ht="24" x14ac:dyDescent="0.25">
      <c r="A251" s="48"/>
      <c r="B251" s="47"/>
      <c r="C251" s="9" t="s">
        <v>523</v>
      </c>
      <c r="D251" s="7" t="s">
        <v>166</v>
      </c>
      <c r="E251" s="8">
        <f>E252</f>
        <v>0</v>
      </c>
      <c r="F251" s="8">
        <f>F252</f>
        <v>0</v>
      </c>
      <c r="G251" s="12" t="s">
        <v>10</v>
      </c>
      <c r="H251" s="13">
        <f>H252</f>
        <v>0</v>
      </c>
    </row>
    <row r="252" spans="1:8" ht="36" x14ac:dyDescent="0.25">
      <c r="A252" s="48"/>
      <c r="B252" s="47"/>
      <c r="C252" s="9" t="s">
        <v>591</v>
      </c>
      <c r="D252" s="7" t="s">
        <v>416</v>
      </c>
      <c r="E252" s="8">
        <f>0</f>
        <v>0</v>
      </c>
      <c r="F252" s="8">
        <f>0</f>
        <v>0</v>
      </c>
      <c r="G252" s="12" t="s">
        <v>10</v>
      </c>
      <c r="H252" s="13">
        <f>0</f>
        <v>0</v>
      </c>
    </row>
    <row r="253" spans="1:8" ht="36" x14ac:dyDescent="0.25">
      <c r="A253" s="48"/>
      <c r="B253" s="47"/>
      <c r="C253" s="5" t="s">
        <v>25</v>
      </c>
      <c r="D253" s="5" t="s">
        <v>417</v>
      </c>
      <c r="E253" s="6">
        <f>E254</f>
        <v>1689.6000000000001</v>
      </c>
      <c r="F253" s="6">
        <f>F254</f>
        <v>1679.72</v>
      </c>
      <c r="G253" s="10" t="s">
        <v>802</v>
      </c>
      <c r="H253" s="11">
        <f>H254</f>
        <v>1679.72</v>
      </c>
    </row>
    <row r="254" spans="1:8" ht="72" x14ac:dyDescent="0.25">
      <c r="A254" s="48"/>
      <c r="B254" s="47"/>
      <c r="C254" s="7" t="s">
        <v>21</v>
      </c>
      <c r="D254" s="7" t="s">
        <v>418</v>
      </c>
      <c r="E254" s="8">
        <f>E255</f>
        <v>1689.6000000000001</v>
      </c>
      <c r="F254" s="8">
        <f>F255</f>
        <v>1679.72</v>
      </c>
      <c r="G254" s="12" t="s">
        <v>802</v>
      </c>
      <c r="H254" s="13">
        <f>H255</f>
        <v>1679.72</v>
      </c>
    </row>
    <row r="255" spans="1:8" ht="48" x14ac:dyDescent="0.25">
      <c r="A255" s="48"/>
      <c r="B255" s="47"/>
      <c r="C255" s="9" t="s">
        <v>525</v>
      </c>
      <c r="D255" s="7" t="s">
        <v>803</v>
      </c>
      <c r="E255" s="8">
        <f>E256+E257+E258</f>
        <v>1689.6000000000001</v>
      </c>
      <c r="F255" s="8">
        <f>F256+F257+F258</f>
        <v>1679.72</v>
      </c>
      <c r="G255" s="12" t="s">
        <v>802</v>
      </c>
      <c r="H255" s="13">
        <f>H256+H257+H258</f>
        <v>1679.72</v>
      </c>
    </row>
    <row r="256" spans="1:8" ht="24" x14ac:dyDescent="0.25">
      <c r="A256" s="48"/>
      <c r="B256" s="47"/>
      <c r="C256" s="9" t="s">
        <v>526</v>
      </c>
      <c r="D256" s="7" t="s">
        <v>419</v>
      </c>
      <c r="E256" s="8">
        <f>477.6</f>
        <v>477.6</v>
      </c>
      <c r="F256" s="8">
        <f>477.6</f>
        <v>477.6</v>
      </c>
      <c r="G256" s="12" t="s">
        <v>550</v>
      </c>
      <c r="H256" s="13">
        <f>477.6</f>
        <v>477.6</v>
      </c>
    </row>
    <row r="257" spans="1:8" ht="36" x14ac:dyDescent="0.25">
      <c r="A257" s="48"/>
      <c r="B257" s="47"/>
      <c r="C257" s="9" t="s">
        <v>527</v>
      </c>
      <c r="D257" s="7" t="s">
        <v>420</v>
      </c>
      <c r="E257" s="8">
        <f>448.8</f>
        <v>448.8</v>
      </c>
      <c r="F257" s="8">
        <f>438.92</f>
        <v>438.92</v>
      </c>
      <c r="G257" s="12" t="s">
        <v>621</v>
      </c>
      <c r="H257" s="13">
        <f>438.92</f>
        <v>438.92</v>
      </c>
    </row>
    <row r="258" spans="1:8" ht="36" x14ac:dyDescent="0.25">
      <c r="A258" s="48"/>
      <c r="B258" s="47"/>
      <c r="C258" s="9" t="s">
        <v>528</v>
      </c>
      <c r="D258" s="7" t="s">
        <v>421</v>
      </c>
      <c r="E258" s="8">
        <f>763.2</f>
        <v>763.2</v>
      </c>
      <c r="F258" s="8">
        <f>763.2</f>
        <v>763.2</v>
      </c>
      <c r="G258" s="12" t="s">
        <v>550</v>
      </c>
      <c r="H258" s="13">
        <f>763.2</f>
        <v>763.2</v>
      </c>
    </row>
    <row r="259" spans="1:8" ht="24" x14ac:dyDescent="0.25">
      <c r="A259" s="48"/>
      <c r="B259" s="47"/>
      <c r="C259" s="5" t="s">
        <v>29</v>
      </c>
      <c r="D259" s="5" t="s">
        <v>422</v>
      </c>
      <c r="E259" s="6">
        <f>E260</f>
        <v>15325.89</v>
      </c>
      <c r="F259" s="6">
        <f>F260</f>
        <v>15243.160000000002</v>
      </c>
      <c r="G259" s="10" t="s">
        <v>741</v>
      </c>
      <c r="H259" s="11">
        <f>H260</f>
        <v>15243.160000000002</v>
      </c>
    </row>
    <row r="260" spans="1:8" x14ac:dyDescent="0.25">
      <c r="A260" s="48"/>
      <c r="B260" s="47"/>
      <c r="C260" s="7" t="s">
        <v>21</v>
      </c>
      <c r="D260" s="7" t="s">
        <v>167</v>
      </c>
      <c r="E260" s="8">
        <f>E261+E264+E266+E268+E269+E281+E283+E284+E286+E289</f>
        <v>15325.89</v>
      </c>
      <c r="F260" s="8">
        <f>F261+F264+F266+F268+F269+F281+F283+F284+F286+F289</f>
        <v>15243.160000000002</v>
      </c>
      <c r="G260" s="12" t="s">
        <v>741</v>
      </c>
      <c r="H260" s="13">
        <f>H261+H264+H266+H268+H269+H281+H283+H284+H286+H289</f>
        <v>15243.160000000002</v>
      </c>
    </row>
    <row r="261" spans="1:8" ht="36" x14ac:dyDescent="0.25">
      <c r="A261" s="48"/>
      <c r="B261" s="47"/>
      <c r="C261" s="9" t="s">
        <v>525</v>
      </c>
      <c r="D261" s="7" t="s">
        <v>168</v>
      </c>
      <c r="E261" s="8">
        <f>E262+E263</f>
        <v>0</v>
      </c>
      <c r="F261" s="8">
        <f>F262+F263</f>
        <v>0</v>
      </c>
      <c r="G261" s="12" t="s">
        <v>10</v>
      </c>
      <c r="H261" s="13">
        <f>H262+H263</f>
        <v>0</v>
      </c>
    </row>
    <row r="262" spans="1:8" ht="48" x14ac:dyDescent="0.25">
      <c r="A262" s="48"/>
      <c r="B262" s="47"/>
      <c r="C262" s="9" t="s">
        <v>526</v>
      </c>
      <c r="D262" s="7" t="s">
        <v>435</v>
      </c>
      <c r="E262" s="8">
        <f>0</f>
        <v>0</v>
      </c>
      <c r="F262" s="8">
        <f>0</f>
        <v>0</v>
      </c>
      <c r="G262" s="12" t="s">
        <v>10</v>
      </c>
      <c r="H262" s="13">
        <f>0</f>
        <v>0</v>
      </c>
    </row>
    <row r="263" spans="1:8" ht="24" x14ac:dyDescent="0.25">
      <c r="A263" s="48"/>
      <c r="B263" s="47"/>
      <c r="C263" s="9" t="s">
        <v>527</v>
      </c>
      <c r="D263" s="7" t="s">
        <v>436</v>
      </c>
      <c r="E263" s="8">
        <f>0</f>
        <v>0</v>
      </c>
      <c r="F263" s="8">
        <f>0</f>
        <v>0</v>
      </c>
      <c r="G263" s="12" t="s">
        <v>10</v>
      </c>
      <c r="H263" s="13">
        <f>0</f>
        <v>0</v>
      </c>
    </row>
    <row r="264" spans="1:8" ht="24" x14ac:dyDescent="0.25">
      <c r="A264" s="48"/>
      <c r="B264" s="47"/>
      <c r="C264" s="9" t="s">
        <v>529</v>
      </c>
      <c r="D264" s="7" t="s">
        <v>169</v>
      </c>
      <c r="E264" s="8">
        <f>E265</f>
        <v>60</v>
      </c>
      <c r="F264" s="8">
        <f>F265</f>
        <v>15.24</v>
      </c>
      <c r="G264" s="12" t="s">
        <v>804</v>
      </c>
      <c r="H264" s="13">
        <f>H265</f>
        <v>15.24</v>
      </c>
    </row>
    <row r="265" spans="1:8" x14ac:dyDescent="0.25">
      <c r="A265" s="48"/>
      <c r="B265" s="47"/>
      <c r="C265" s="9" t="s">
        <v>530</v>
      </c>
      <c r="D265" s="7" t="s">
        <v>434</v>
      </c>
      <c r="E265" s="8">
        <f>60</f>
        <v>60</v>
      </c>
      <c r="F265" s="8">
        <f>15.24</f>
        <v>15.24</v>
      </c>
      <c r="G265" s="12" t="s">
        <v>804</v>
      </c>
      <c r="H265" s="13">
        <f>15.24</f>
        <v>15.24</v>
      </c>
    </row>
    <row r="266" spans="1:8" ht="24" x14ac:dyDescent="0.25">
      <c r="A266" s="48"/>
      <c r="B266" s="47"/>
      <c r="C266" s="9" t="s">
        <v>539</v>
      </c>
      <c r="D266" s="7" t="s">
        <v>805</v>
      </c>
      <c r="E266" s="8">
        <f>E267</f>
        <v>20</v>
      </c>
      <c r="F266" s="8">
        <f>F267</f>
        <v>0</v>
      </c>
      <c r="G266" s="12" t="s">
        <v>47</v>
      </c>
      <c r="H266" s="13">
        <f>H267</f>
        <v>0</v>
      </c>
    </row>
    <row r="267" spans="1:8" ht="24" x14ac:dyDescent="0.25">
      <c r="A267" s="48"/>
      <c r="B267" s="47"/>
      <c r="C267" s="9" t="s">
        <v>593</v>
      </c>
      <c r="D267" s="7" t="s">
        <v>433</v>
      </c>
      <c r="E267" s="8">
        <f>20</f>
        <v>20</v>
      </c>
      <c r="F267" s="8">
        <f>0</f>
        <v>0</v>
      </c>
      <c r="G267" s="12" t="s">
        <v>47</v>
      </c>
      <c r="H267" s="13">
        <f>0</f>
        <v>0</v>
      </c>
    </row>
    <row r="268" spans="1:8" ht="36" x14ac:dyDescent="0.25">
      <c r="A268" s="48"/>
      <c r="B268" s="47"/>
      <c r="C268" s="9" t="s">
        <v>533</v>
      </c>
      <c r="D268" s="7" t="s">
        <v>170</v>
      </c>
      <c r="E268" s="8">
        <f>182.56</f>
        <v>182.56</v>
      </c>
      <c r="F268" s="8">
        <f>182.54</f>
        <v>182.54</v>
      </c>
      <c r="G268" s="12" t="s">
        <v>550</v>
      </c>
      <c r="H268" s="13">
        <f>182.54</f>
        <v>182.54</v>
      </c>
    </row>
    <row r="269" spans="1:8" ht="36" x14ac:dyDescent="0.25">
      <c r="A269" s="48"/>
      <c r="B269" s="47"/>
      <c r="C269" s="9" t="s">
        <v>534</v>
      </c>
      <c r="D269" s="7" t="s">
        <v>806</v>
      </c>
      <c r="E269" s="8">
        <f>E270+E271+E272+E273+E274+E275+E276+E277+E278+E279+E280</f>
        <v>14527.17</v>
      </c>
      <c r="F269" s="8">
        <f>F270+F271+F272+F273+F274+F275+F276+F277+F278+F279+F280</f>
        <v>14519.220000000001</v>
      </c>
      <c r="G269" s="12" t="s">
        <v>738</v>
      </c>
      <c r="H269" s="13">
        <f>H270+H271+H272+H273+H274+H275+H276+H277+H278+H279+H280</f>
        <v>14519.220000000001</v>
      </c>
    </row>
    <row r="270" spans="1:8" ht="24" x14ac:dyDescent="0.25">
      <c r="A270" s="48"/>
      <c r="B270" s="47"/>
      <c r="C270" s="9" t="s">
        <v>602</v>
      </c>
      <c r="D270" s="7" t="s">
        <v>424</v>
      </c>
      <c r="E270" s="8">
        <f>0</f>
        <v>0</v>
      </c>
      <c r="F270" s="8">
        <f>0</f>
        <v>0</v>
      </c>
      <c r="G270" s="12" t="s">
        <v>10</v>
      </c>
      <c r="H270" s="13">
        <f>0</f>
        <v>0</v>
      </c>
    </row>
    <row r="271" spans="1:8" ht="24" x14ac:dyDescent="0.25">
      <c r="A271" s="48"/>
      <c r="B271" s="47"/>
      <c r="C271" s="9" t="s">
        <v>610</v>
      </c>
      <c r="D271" s="7" t="s">
        <v>425</v>
      </c>
      <c r="E271" s="8">
        <f>157.26</f>
        <v>157.26</v>
      </c>
      <c r="F271" s="8">
        <f>149.31</f>
        <v>149.31</v>
      </c>
      <c r="G271" s="12" t="s">
        <v>807</v>
      </c>
      <c r="H271" s="13">
        <f>149.31</f>
        <v>149.31</v>
      </c>
    </row>
    <row r="272" spans="1:8" ht="24" x14ac:dyDescent="0.25">
      <c r="A272" s="48"/>
      <c r="B272" s="47"/>
      <c r="C272" s="9" t="s">
        <v>611</v>
      </c>
      <c r="D272" s="7" t="s">
        <v>426</v>
      </c>
      <c r="E272" s="8">
        <f>0</f>
        <v>0</v>
      </c>
      <c r="F272" s="8">
        <f>0</f>
        <v>0</v>
      </c>
      <c r="G272" s="12" t="s">
        <v>10</v>
      </c>
      <c r="H272" s="13">
        <f>0</f>
        <v>0</v>
      </c>
    </row>
    <row r="273" spans="1:8" ht="36" x14ac:dyDescent="0.25">
      <c r="A273" s="48"/>
      <c r="B273" s="47"/>
      <c r="C273" s="9" t="s">
        <v>612</v>
      </c>
      <c r="D273" s="7" t="s">
        <v>427</v>
      </c>
      <c r="E273" s="8">
        <f>63.3</f>
        <v>63.3</v>
      </c>
      <c r="F273" s="8">
        <f>63.3</f>
        <v>63.3</v>
      </c>
      <c r="G273" s="12" t="s">
        <v>550</v>
      </c>
      <c r="H273" s="13">
        <f>63.3</f>
        <v>63.3</v>
      </c>
    </row>
    <row r="274" spans="1:8" ht="24" x14ac:dyDescent="0.25">
      <c r="A274" s="48"/>
      <c r="B274" s="47"/>
      <c r="C274" s="9" t="s">
        <v>613</v>
      </c>
      <c r="D274" s="7" t="s">
        <v>428</v>
      </c>
      <c r="E274" s="8">
        <f>1355.1</f>
        <v>1355.1</v>
      </c>
      <c r="F274" s="8">
        <f>1355.1</f>
        <v>1355.1</v>
      </c>
      <c r="G274" s="12" t="s">
        <v>550</v>
      </c>
      <c r="H274" s="13">
        <f>1355.1</f>
        <v>1355.1</v>
      </c>
    </row>
    <row r="275" spans="1:8" ht="36" x14ac:dyDescent="0.25">
      <c r="A275" s="48"/>
      <c r="B275" s="47"/>
      <c r="C275" s="9" t="s">
        <v>614</v>
      </c>
      <c r="D275" s="7" t="s">
        <v>429</v>
      </c>
      <c r="E275" s="8">
        <f>60</f>
        <v>60</v>
      </c>
      <c r="F275" s="8">
        <f>60</f>
        <v>60</v>
      </c>
      <c r="G275" s="12" t="s">
        <v>550</v>
      </c>
      <c r="H275" s="13">
        <f>60</f>
        <v>60</v>
      </c>
    </row>
    <row r="276" spans="1:8" ht="24" x14ac:dyDescent="0.25">
      <c r="A276" s="48"/>
      <c r="B276" s="47"/>
      <c r="C276" s="9" t="s">
        <v>615</v>
      </c>
      <c r="D276" s="7" t="s">
        <v>808</v>
      </c>
      <c r="E276" s="8">
        <f>0</f>
        <v>0</v>
      </c>
      <c r="F276" s="8">
        <f>0</f>
        <v>0</v>
      </c>
      <c r="G276" s="12" t="s">
        <v>10</v>
      </c>
      <c r="H276" s="13">
        <f>0</f>
        <v>0</v>
      </c>
    </row>
    <row r="277" spans="1:8" x14ac:dyDescent="0.25">
      <c r="A277" s="48"/>
      <c r="B277" s="47"/>
      <c r="C277" s="9" t="s">
        <v>616</v>
      </c>
      <c r="D277" s="7" t="s">
        <v>430</v>
      </c>
      <c r="E277" s="8">
        <f>1578.2</f>
        <v>1578.2</v>
      </c>
      <c r="F277" s="8">
        <f>1578.2</f>
        <v>1578.2</v>
      </c>
      <c r="G277" s="12" t="s">
        <v>550</v>
      </c>
      <c r="H277" s="13">
        <f>1578.2</f>
        <v>1578.2</v>
      </c>
    </row>
    <row r="278" spans="1:8" x14ac:dyDescent="0.25">
      <c r="A278" s="48"/>
      <c r="B278" s="47"/>
      <c r="C278" s="9" t="s">
        <v>617</v>
      </c>
      <c r="D278" s="7" t="s">
        <v>431</v>
      </c>
      <c r="E278" s="8">
        <f>513.7</f>
        <v>513.70000000000005</v>
      </c>
      <c r="F278" s="8">
        <f>513.7</f>
        <v>513.70000000000005</v>
      </c>
      <c r="G278" s="12" t="s">
        <v>550</v>
      </c>
      <c r="H278" s="13">
        <f>513.7</f>
        <v>513.70000000000005</v>
      </c>
    </row>
    <row r="279" spans="1:8" x14ac:dyDescent="0.25">
      <c r="A279" s="48"/>
      <c r="B279" s="47"/>
      <c r="C279" s="9" t="s">
        <v>618</v>
      </c>
      <c r="D279" s="7" t="s">
        <v>432</v>
      </c>
      <c r="E279" s="8">
        <f>10799.61</f>
        <v>10799.61</v>
      </c>
      <c r="F279" s="8">
        <f>10799.61</f>
        <v>10799.61</v>
      </c>
      <c r="G279" s="12" t="s">
        <v>550</v>
      </c>
      <c r="H279" s="13">
        <f>10799.61</f>
        <v>10799.61</v>
      </c>
    </row>
    <row r="280" spans="1:8" ht="24" x14ac:dyDescent="0.25">
      <c r="A280" s="48"/>
      <c r="B280" s="47"/>
      <c r="C280" s="9" t="s">
        <v>809</v>
      </c>
      <c r="D280" s="7" t="s">
        <v>478</v>
      </c>
      <c r="E280" s="8">
        <f>0</f>
        <v>0</v>
      </c>
      <c r="F280" s="8">
        <f>0</f>
        <v>0</v>
      </c>
      <c r="G280" s="12" t="s">
        <v>10</v>
      </c>
      <c r="H280" s="13">
        <f>0</f>
        <v>0</v>
      </c>
    </row>
    <row r="281" spans="1:8" ht="36" x14ac:dyDescent="0.25">
      <c r="A281" s="48"/>
      <c r="B281" s="47"/>
      <c r="C281" s="9" t="s">
        <v>552</v>
      </c>
      <c r="D281" s="7" t="s">
        <v>171</v>
      </c>
      <c r="E281" s="8">
        <f>E282</f>
        <v>10</v>
      </c>
      <c r="F281" s="8">
        <f>F282</f>
        <v>0</v>
      </c>
      <c r="G281" s="12" t="s">
        <v>47</v>
      </c>
      <c r="H281" s="13">
        <f>H282</f>
        <v>0</v>
      </c>
    </row>
    <row r="282" spans="1:8" ht="24" x14ac:dyDescent="0.25">
      <c r="A282" s="48"/>
      <c r="B282" s="47"/>
      <c r="C282" s="9" t="s">
        <v>619</v>
      </c>
      <c r="D282" s="7" t="s">
        <v>423</v>
      </c>
      <c r="E282" s="8">
        <f>10</f>
        <v>10</v>
      </c>
      <c r="F282" s="8">
        <f>0</f>
        <v>0</v>
      </c>
      <c r="G282" s="12" t="s">
        <v>47</v>
      </c>
      <c r="H282" s="13">
        <f>0</f>
        <v>0</v>
      </c>
    </row>
    <row r="283" spans="1:8" ht="48" x14ac:dyDescent="0.25">
      <c r="A283" s="48"/>
      <c r="B283" s="47"/>
      <c r="C283" s="9" t="s">
        <v>553</v>
      </c>
      <c r="D283" s="7" t="s">
        <v>810</v>
      </c>
      <c r="E283" s="8">
        <f>0</f>
        <v>0</v>
      </c>
      <c r="F283" s="8">
        <f>0</f>
        <v>0</v>
      </c>
      <c r="G283" s="12" t="s">
        <v>10</v>
      </c>
      <c r="H283" s="13">
        <f>0</f>
        <v>0</v>
      </c>
    </row>
    <row r="284" spans="1:8" x14ac:dyDescent="0.25">
      <c r="A284" s="48"/>
      <c r="B284" s="47"/>
      <c r="C284" s="9" t="s">
        <v>554</v>
      </c>
      <c r="D284" s="7" t="s">
        <v>172</v>
      </c>
      <c r="E284" s="8">
        <f>E285</f>
        <v>526.16</v>
      </c>
      <c r="F284" s="8">
        <f>F285</f>
        <v>526.16</v>
      </c>
      <c r="G284" s="12" t="s">
        <v>550</v>
      </c>
      <c r="H284" s="13">
        <f>H285</f>
        <v>526.16</v>
      </c>
    </row>
    <row r="285" spans="1:8" ht="36" x14ac:dyDescent="0.25">
      <c r="A285" s="48"/>
      <c r="B285" s="47"/>
      <c r="C285" s="9" t="s">
        <v>620</v>
      </c>
      <c r="D285" s="7" t="s">
        <v>437</v>
      </c>
      <c r="E285" s="8">
        <f>526.16</f>
        <v>526.16</v>
      </c>
      <c r="F285" s="8">
        <f>526.16</f>
        <v>526.16</v>
      </c>
      <c r="G285" s="12" t="s">
        <v>550</v>
      </c>
      <c r="H285" s="13">
        <f>526.16</f>
        <v>526.16</v>
      </c>
    </row>
    <row r="286" spans="1:8" ht="60" x14ac:dyDescent="0.25">
      <c r="A286" s="48"/>
      <c r="B286" s="47"/>
      <c r="C286" s="9" t="s">
        <v>555</v>
      </c>
      <c r="D286" s="7" t="s">
        <v>479</v>
      </c>
      <c r="E286" s="8">
        <f>E287+E288</f>
        <v>0</v>
      </c>
      <c r="F286" s="8">
        <f>F287+F288</f>
        <v>0</v>
      </c>
      <c r="G286" s="12" t="s">
        <v>10</v>
      </c>
      <c r="H286" s="13">
        <f>H287+H288</f>
        <v>0</v>
      </c>
    </row>
    <row r="287" spans="1:8" ht="36" x14ac:dyDescent="0.25">
      <c r="A287" s="48"/>
      <c r="B287" s="47"/>
      <c r="C287" s="9" t="s">
        <v>603</v>
      </c>
      <c r="D287" s="7" t="s">
        <v>480</v>
      </c>
      <c r="E287" s="8">
        <f>0</f>
        <v>0</v>
      </c>
      <c r="F287" s="8">
        <f>0</f>
        <v>0</v>
      </c>
      <c r="G287" s="12" t="s">
        <v>10</v>
      </c>
      <c r="H287" s="13">
        <f>0</f>
        <v>0</v>
      </c>
    </row>
    <row r="288" spans="1:8" ht="24" x14ac:dyDescent="0.25">
      <c r="A288" s="48"/>
      <c r="B288" s="47"/>
      <c r="C288" s="9" t="s">
        <v>604</v>
      </c>
      <c r="D288" s="7" t="s">
        <v>481</v>
      </c>
      <c r="E288" s="8">
        <f>0</f>
        <v>0</v>
      </c>
      <c r="F288" s="8">
        <f>0</f>
        <v>0</v>
      </c>
      <c r="G288" s="12" t="s">
        <v>10</v>
      </c>
      <c r="H288" s="13">
        <f>0</f>
        <v>0</v>
      </c>
    </row>
    <row r="289" spans="1:8" ht="36" x14ac:dyDescent="0.25">
      <c r="A289" s="48"/>
      <c r="B289" s="47"/>
      <c r="C289" s="9" t="s">
        <v>606</v>
      </c>
      <c r="D289" s="7" t="s">
        <v>811</v>
      </c>
      <c r="E289" s="8">
        <f>0</f>
        <v>0</v>
      </c>
      <c r="F289" s="8">
        <f>0</f>
        <v>0</v>
      </c>
      <c r="G289" s="12" t="s">
        <v>10</v>
      </c>
      <c r="H289" s="13">
        <f>0</f>
        <v>0</v>
      </c>
    </row>
    <row r="290" spans="1:8" ht="24" x14ac:dyDescent="0.25">
      <c r="A290" s="48"/>
      <c r="B290" s="47"/>
      <c r="C290" s="5" t="s">
        <v>13</v>
      </c>
      <c r="D290" s="5" t="s">
        <v>438</v>
      </c>
      <c r="E290" s="6">
        <f>E291+E294</f>
        <v>1386.64</v>
      </c>
      <c r="F290" s="6">
        <f>F291+F294</f>
        <v>1386.44</v>
      </c>
      <c r="G290" s="10" t="s">
        <v>550</v>
      </c>
      <c r="H290" s="11">
        <f>H291+H294</f>
        <v>1386.44</v>
      </c>
    </row>
    <row r="291" spans="1:8" ht="36" x14ac:dyDescent="0.25">
      <c r="A291" s="48"/>
      <c r="B291" s="47"/>
      <c r="C291" s="7" t="s">
        <v>21</v>
      </c>
      <c r="D291" s="7" t="s">
        <v>173</v>
      </c>
      <c r="E291" s="8">
        <f>E292</f>
        <v>148</v>
      </c>
      <c r="F291" s="8">
        <f>F292</f>
        <v>147.80000000000001</v>
      </c>
      <c r="G291" s="12" t="s">
        <v>736</v>
      </c>
      <c r="H291" s="13">
        <f>H292</f>
        <v>147.80000000000001</v>
      </c>
    </row>
    <row r="292" spans="1:8" ht="24" x14ac:dyDescent="0.25">
      <c r="A292" s="48"/>
      <c r="B292" s="47"/>
      <c r="C292" s="9" t="s">
        <v>525</v>
      </c>
      <c r="D292" s="7" t="s">
        <v>812</v>
      </c>
      <c r="E292" s="8">
        <f>E293</f>
        <v>148</v>
      </c>
      <c r="F292" s="8">
        <f>F293</f>
        <v>147.80000000000001</v>
      </c>
      <c r="G292" s="12" t="s">
        <v>736</v>
      </c>
      <c r="H292" s="13">
        <f>H293</f>
        <v>147.80000000000001</v>
      </c>
    </row>
    <row r="293" spans="1:8" ht="72" x14ac:dyDescent="0.25">
      <c r="A293" s="48"/>
      <c r="B293" s="47"/>
      <c r="C293" s="9" t="s">
        <v>526</v>
      </c>
      <c r="D293" s="7" t="s">
        <v>439</v>
      </c>
      <c r="E293" s="8">
        <f>148</f>
        <v>148</v>
      </c>
      <c r="F293" s="8">
        <f>147.8</f>
        <v>147.80000000000001</v>
      </c>
      <c r="G293" s="12" t="s">
        <v>736</v>
      </c>
      <c r="H293" s="13">
        <f>147.8</f>
        <v>147.80000000000001</v>
      </c>
    </row>
    <row r="294" spans="1:8" ht="36" x14ac:dyDescent="0.25">
      <c r="A294" s="48"/>
      <c r="B294" s="47"/>
      <c r="C294" s="7" t="s">
        <v>36</v>
      </c>
      <c r="D294" s="7" t="s">
        <v>174</v>
      </c>
      <c r="E294" s="8">
        <f>E295+E297+E298</f>
        <v>1238.6400000000001</v>
      </c>
      <c r="F294" s="8">
        <f>F295+F297+F298</f>
        <v>1238.6400000000001</v>
      </c>
      <c r="G294" s="12" t="s">
        <v>550</v>
      </c>
      <c r="H294" s="13">
        <f>H295+H297+H298</f>
        <v>1238.6400000000001</v>
      </c>
    </row>
    <row r="295" spans="1:8" ht="24" x14ac:dyDescent="0.25">
      <c r="A295" s="48"/>
      <c r="B295" s="47"/>
      <c r="C295" s="9" t="s">
        <v>540</v>
      </c>
      <c r="D295" s="7" t="s">
        <v>175</v>
      </c>
      <c r="E295" s="8">
        <f>E296</f>
        <v>1238.6400000000001</v>
      </c>
      <c r="F295" s="8">
        <f>F296</f>
        <v>1238.6400000000001</v>
      </c>
      <c r="G295" s="12" t="s">
        <v>550</v>
      </c>
      <c r="H295" s="13">
        <f>H296</f>
        <v>1238.6400000000001</v>
      </c>
    </row>
    <row r="296" spans="1:8" ht="36" x14ac:dyDescent="0.25">
      <c r="A296" s="48"/>
      <c r="B296" s="47"/>
      <c r="C296" s="9" t="s">
        <v>609</v>
      </c>
      <c r="D296" s="7" t="s">
        <v>440</v>
      </c>
      <c r="E296" s="8">
        <f>1238.64</f>
        <v>1238.6400000000001</v>
      </c>
      <c r="F296" s="8">
        <f>1238.64</f>
        <v>1238.6400000000001</v>
      </c>
      <c r="G296" s="12" t="s">
        <v>550</v>
      </c>
      <c r="H296" s="13">
        <f>1238.64</f>
        <v>1238.6400000000001</v>
      </c>
    </row>
    <row r="297" spans="1:8" ht="24" x14ac:dyDescent="0.25">
      <c r="A297" s="48"/>
      <c r="B297" s="47"/>
      <c r="C297" s="9" t="s">
        <v>541</v>
      </c>
      <c r="D297" s="7" t="s">
        <v>176</v>
      </c>
      <c r="E297" s="8">
        <f>0</f>
        <v>0</v>
      </c>
      <c r="F297" s="8">
        <f>0</f>
        <v>0</v>
      </c>
      <c r="G297" s="12" t="s">
        <v>10</v>
      </c>
      <c r="H297" s="13">
        <f>0</f>
        <v>0</v>
      </c>
    </row>
    <row r="298" spans="1:8" ht="36" x14ac:dyDescent="0.25">
      <c r="A298" s="48"/>
      <c r="B298" s="47"/>
      <c r="C298" s="9" t="s">
        <v>542</v>
      </c>
      <c r="D298" s="7" t="s">
        <v>441</v>
      </c>
      <c r="E298" s="8">
        <f>0</f>
        <v>0</v>
      </c>
      <c r="F298" s="8">
        <f>0</f>
        <v>0</v>
      </c>
      <c r="G298" s="12" t="s">
        <v>10</v>
      </c>
      <c r="H298" s="13">
        <f>0</f>
        <v>0</v>
      </c>
    </row>
    <row r="299" spans="1:8" x14ac:dyDescent="0.25">
      <c r="A299" s="48"/>
      <c r="B299" s="47"/>
      <c r="C299" s="5" t="s">
        <v>177</v>
      </c>
      <c r="D299" s="5" t="s">
        <v>40</v>
      </c>
      <c r="E299" s="6">
        <f>E300</f>
        <v>23048.26</v>
      </c>
      <c r="F299" s="6">
        <f>F300</f>
        <v>23048.26</v>
      </c>
      <c r="G299" s="10" t="s">
        <v>550</v>
      </c>
      <c r="H299" s="11">
        <f>H300</f>
        <v>23048.26</v>
      </c>
    </row>
    <row r="300" spans="1:8" ht="24" x14ac:dyDescent="0.25">
      <c r="A300" s="48"/>
      <c r="B300" s="47"/>
      <c r="C300" s="7" t="s">
        <v>21</v>
      </c>
      <c r="D300" s="7" t="s">
        <v>41</v>
      </c>
      <c r="E300" s="8">
        <f>E301+E302+E304</f>
        <v>23048.26</v>
      </c>
      <c r="F300" s="8">
        <f>F301+F302+F304</f>
        <v>23048.26</v>
      </c>
      <c r="G300" s="12" t="s">
        <v>550</v>
      </c>
      <c r="H300" s="13">
        <f>H301+H302+H304</f>
        <v>23048.26</v>
      </c>
    </row>
    <row r="301" spans="1:8" ht="24" x14ac:dyDescent="0.25">
      <c r="A301" s="48"/>
      <c r="B301" s="47"/>
      <c r="C301" s="9" t="s">
        <v>525</v>
      </c>
      <c r="D301" s="7" t="s">
        <v>178</v>
      </c>
      <c r="E301" s="8">
        <f>0</f>
        <v>0</v>
      </c>
      <c r="F301" s="8">
        <f>0</f>
        <v>0</v>
      </c>
      <c r="G301" s="12" t="s">
        <v>10</v>
      </c>
      <c r="H301" s="13">
        <f>0</f>
        <v>0</v>
      </c>
    </row>
    <row r="302" spans="1:8" ht="36" x14ac:dyDescent="0.25">
      <c r="A302" s="48"/>
      <c r="B302" s="47"/>
      <c r="C302" s="9" t="s">
        <v>529</v>
      </c>
      <c r="D302" s="7" t="s">
        <v>163</v>
      </c>
      <c r="E302" s="8">
        <f>E303</f>
        <v>23048.26</v>
      </c>
      <c r="F302" s="8">
        <f>F303</f>
        <v>23048.26</v>
      </c>
      <c r="G302" s="12" t="s">
        <v>550</v>
      </c>
      <c r="H302" s="13">
        <f>H303</f>
        <v>23048.26</v>
      </c>
    </row>
    <row r="303" spans="1:8" x14ac:dyDescent="0.25">
      <c r="A303" s="48"/>
      <c r="B303" s="47"/>
      <c r="C303" s="9" t="s">
        <v>530</v>
      </c>
      <c r="D303" s="7" t="s">
        <v>442</v>
      </c>
      <c r="E303" s="8">
        <f>23048.26</f>
        <v>23048.26</v>
      </c>
      <c r="F303" s="8">
        <f>23048.26</f>
        <v>23048.26</v>
      </c>
      <c r="G303" s="12" t="s">
        <v>550</v>
      </c>
      <c r="H303" s="13">
        <f>23048.26</f>
        <v>23048.26</v>
      </c>
    </row>
    <row r="304" spans="1:8" ht="25.15" customHeight="1" x14ac:dyDescent="0.25">
      <c r="A304" s="48"/>
      <c r="B304" s="47"/>
      <c r="C304" s="9" t="s">
        <v>539</v>
      </c>
      <c r="D304" s="7" t="s">
        <v>179</v>
      </c>
      <c r="E304" s="8">
        <f>0</f>
        <v>0</v>
      </c>
      <c r="F304" s="8">
        <f>0</f>
        <v>0</v>
      </c>
      <c r="G304" s="12" t="s">
        <v>10</v>
      </c>
      <c r="H304" s="13">
        <f>0</f>
        <v>0</v>
      </c>
    </row>
    <row r="305" spans="1:8" ht="15.75" thickBot="1" x14ac:dyDescent="0.3">
      <c r="A305" s="54" t="s">
        <v>18</v>
      </c>
      <c r="B305" s="55"/>
      <c r="C305" s="55"/>
      <c r="D305" s="55"/>
      <c r="E305" s="32">
        <f>E192+E225+E253+E259+E290+E299</f>
        <v>67452.76999999999</v>
      </c>
      <c r="F305" s="29">
        <f>F192+F225+F253+F259+F290+F299</f>
        <v>67252.680000000008</v>
      </c>
      <c r="G305" s="30" t="s">
        <v>569</v>
      </c>
      <c r="H305" s="31">
        <f>H192+H225+H253+H259+H290+H299</f>
        <v>67252.680000000008</v>
      </c>
    </row>
    <row r="306" spans="1:8" ht="24" x14ac:dyDescent="0.25">
      <c r="A306" s="56">
        <v>9</v>
      </c>
      <c r="B306" s="57" t="s">
        <v>180</v>
      </c>
      <c r="C306" s="5" t="s">
        <v>8</v>
      </c>
      <c r="D306" s="5" t="s">
        <v>181</v>
      </c>
      <c r="E306" s="15">
        <f>E307+E308+E309</f>
        <v>0</v>
      </c>
      <c r="F306" s="15">
        <f>F307+F308+F309</f>
        <v>0</v>
      </c>
      <c r="G306" s="16" t="s">
        <v>10</v>
      </c>
      <c r="H306" s="17">
        <f>H307+H308+H309</f>
        <v>0</v>
      </c>
    </row>
    <row r="307" spans="1:8" ht="24" x14ac:dyDescent="0.25">
      <c r="A307" s="51"/>
      <c r="B307" s="47"/>
      <c r="C307" s="7" t="s">
        <v>21</v>
      </c>
      <c r="D307" s="7" t="s">
        <v>182</v>
      </c>
      <c r="E307" s="8">
        <f>0</f>
        <v>0</v>
      </c>
      <c r="F307" s="8">
        <f>0</f>
        <v>0</v>
      </c>
      <c r="G307" s="12" t="s">
        <v>10</v>
      </c>
      <c r="H307" s="13">
        <f>0</f>
        <v>0</v>
      </c>
    </row>
    <row r="308" spans="1:8" ht="24" x14ac:dyDescent="0.25">
      <c r="A308" s="51"/>
      <c r="B308" s="47"/>
      <c r="C308" s="7" t="s">
        <v>92</v>
      </c>
      <c r="D308" s="7" t="s">
        <v>183</v>
      </c>
      <c r="E308" s="8">
        <f>0</f>
        <v>0</v>
      </c>
      <c r="F308" s="8">
        <f>0</f>
        <v>0</v>
      </c>
      <c r="G308" s="12" t="s">
        <v>10</v>
      </c>
      <c r="H308" s="13">
        <f>0</f>
        <v>0</v>
      </c>
    </row>
    <row r="309" spans="1:8" ht="36" x14ac:dyDescent="0.25">
      <c r="A309" s="51"/>
      <c r="B309" s="47"/>
      <c r="C309" s="7" t="s">
        <v>184</v>
      </c>
      <c r="D309" s="7" t="s">
        <v>185</v>
      </c>
      <c r="E309" s="8">
        <f>0</f>
        <v>0</v>
      </c>
      <c r="F309" s="8">
        <f>0</f>
        <v>0</v>
      </c>
      <c r="G309" s="12" t="s">
        <v>10</v>
      </c>
      <c r="H309" s="13">
        <f>0</f>
        <v>0</v>
      </c>
    </row>
    <row r="310" spans="1:8" ht="24" x14ac:dyDescent="0.25">
      <c r="A310" s="51"/>
      <c r="B310" s="47"/>
      <c r="C310" s="5" t="s">
        <v>20</v>
      </c>
      <c r="D310" s="5" t="s">
        <v>186</v>
      </c>
      <c r="E310" s="6">
        <f>E311</f>
        <v>0</v>
      </c>
      <c r="F310" s="6">
        <f>F311</f>
        <v>0</v>
      </c>
      <c r="G310" s="10" t="s">
        <v>10</v>
      </c>
      <c r="H310" s="11">
        <f>H311</f>
        <v>0</v>
      </c>
    </row>
    <row r="311" spans="1:8" ht="36" x14ac:dyDescent="0.25">
      <c r="A311" s="51"/>
      <c r="B311" s="47"/>
      <c r="C311" s="7" t="s">
        <v>21</v>
      </c>
      <c r="D311" s="7" t="s">
        <v>187</v>
      </c>
      <c r="E311" s="8">
        <f>0</f>
        <v>0</v>
      </c>
      <c r="F311" s="8">
        <f>0</f>
        <v>0</v>
      </c>
      <c r="G311" s="12" t="s">
        <v>10</v>
      </c>
      <c r="H311" s="13">
        <f>0</f>
        <v>0</v>
      </c>
    </row>
    <row r="312" spans="1:8" ht="36" x14ac:dyDescent="0.25">
      <c r="A312" s="51"/>
      <c r="B312" s="47"/>
      <c r="C312" s="5" t="s">
        <v>25</v>
      </c>
      <c r="D312" s="5" t="s">
        <v>188</v>
      </c>
      <c r="E312" s="6">
        <f>E313</f>
        <v>65988.149999999994</v>
      </c>
      <c r="F312" s="6">
        <f>F313</f>
        <v>63456.509999999995</v>
      </c>
      <c r="G312" s="10" t="s">
        <v>813</v>
      </c>
      <c r="H312" s="11">
        <f>H313</f>
        <v>63456.509999999995</v>
      </c>
    </row>
    <row r="313" spans="1:8" ht="48" x14ac:dyDescent="0.25">
      <c r="A313" s="51"/>
      <c r="B313" s="47"/>
      <c r="C313" s="7" t="s">
        <v>21</v>
      </c>
      <c r="D313" s="7" t="s">
        <v>372</v>
      </c>
      <c r="E313" s="8">
        <f>E314</f>
        <v>65988.149999999994</v>
      </c>
      <c r="F313" s="8">
        <f>F314</f>
        <v>63456.509999999995</v>
      </c>
      <c r="G313" s="12" t="s">
        <v>813</v>
      </c>
      <c r="H313" s="13">
        <f>H314</f>
        <v>63456.509999999995</v>
      </c>
    </row>
    <row r="314" spans="1:8" ht="50.45" customHeight="1" x14ac:dyDescent="0.25">
      <c r="A314" s="51"/>
      <c r="B314" s="47"/>
      <c r="C314" s="9" t="s">
        <v>525</v>
      </c>
      <c r="D314" s="7" t="s">
        <v>189</v>
      </c>
      <c r="E314" s="8">
        <f>E315+E316</f>
        <v>65988.149999999994</v>
      </c>
      <c r="F314" s="8">
        <f>F315+F316</f>
        <v>63456.509999999995</v>
      </c>
      <c r="G314" s="12" t="s">
        <v>813</v>
      </c>
      <c r="H314" s="13">
        <f>H315+H316</f>
        <v>63456.509999999995</v>
      </c>
    </row>
    <row r="315" spans="1:8" ht="48" x14ac:dyDescent="0.25">
      <c r="A315" s="51"/>
      <c r="B315" s="47"/>
      <c r="C315" s="9" t="s">
        <v>526</v>
      </c>
      <c r="D315" s="7" t="s">
        <v>814</v>
      </c>
      <c r="E315" s="8">
        <f>13554.15+51977</f>
        <v>65531.15</v>
      </c>
      <c r="F315" s="8">
        <f>13534.35+49465.64</f>
        <v>62999.99</v>
      </c>
      <c r="G315" s="12" t="s">
        <v>815</v>
      </c>
      <c r="H315" s="13">
        <f>13534.35+49465.64</f>
        <v>62999.99</v>
      </c>
    </row>
    <row r="316" spans="1:8" ht="60" x14ac:dyDescent="0.25">
      <c r="A316" s="51"/>
      <c r="B316" s="47"/>
      <c r="C316" s="9" t="s">
        <v>527</v>
      </c>
      <c r="D316" s="7" t="s">
        <v>816</v>
      </c>
      <c r="E316" s="8">
        <f>457</f>
        <v>457</v>
      </c>
      <c r="F316" s="8">
        <f>456.52</f>
        <v>456.52</v>
      </c>
      <c r="G316" s="12" t="s">
        <v>738</v>
      </c>
      <c r="H316" s="13">
        <f>456.52</f>
        <v>456.52</v>
      </c>
    </row>
    <row r="317" spans="1:8" ht="24" x14ac:dyDescent="0.25">
      <c r="A317" s="51"/>
      <c r="B317" s="47"/>
      <c r="C317" s="5" t="s">
        <v>35</v>
      </c>
      <c r="D317" s="5" t="s">
        <v>817</v>
      </c>
      <c r="E317" s="6">
        <f>E318</f>
        <v>0</v>
      </c>
      <c r="F317" s="6">
        <f>F318</f>
        <v>0</v>
      </c>
      <c r="G317" s="10" t="s">
        <v>10</v>
      </c>
      <c r="H317" s="11">
        <f>H318</f>
        <v>0</v>
      </c>
    </row>
    <row r="318" spans="1:8" ht="36" x14ac:dyDescent="0.25">
      <c r="A318" s="51"/>
      <c r="B318" s="47"/>
      <c r="C318" s="7" t="s">
        <v>21</v>
      </c>
      <c r="D318" s="7" t="s">
        <v>818</v>
      </c>
      <c r="E318" s="8">
        <f>0</f>
        <v>0</v>
      </c>
      <c r="F318" s="8">
        <f>0</f>
        <v>0</v>
      </c>
      <c r="G318" s="12" t="s">
        <v>10</v>
      </c>
      <c r="H318" s="13">
        <f>0</f>
        <v>0</v>
      </c>
    </row>
    <row r="319" spans="1:8" ht="24" x14ac:dyDescent="0.25">
      <c r="A319" s="51"/>
      <c r="B319" s="47"/>
      <c r="C319" s="5" t="s">
        <v>39</v>
      </c>
      <c r="D319" s="5" t="s">
        <v>190</v>
      </c>
      <c r="E319" s="6">
        <f>E320</f>
        <v>0</v>
      </c>
      <c r="F319" s="6">
        <f>F320</f>
        <v>0</v>
      </c>
      <c r="G319" s="10" t="s">
        <v>10</v>
      </c>
      <c r="H319" s="11">
        <f>H320</f>
        <v>0</v>
      </c>
    </row>
    <row r="320" spans="1:8" ht="55.9" customHeight="1" x14ac:dyDescent="0.25">
      <c r="A320" s="51"/>
      <c r="B320" s="47"/>
      <c r="C320" s="7" t="s">
        <v>36</v>
      </c>
      <c r="D320" s="7" t="s">
        <v>191</v>
      </c>
      <c r="E320" s="8">
        <f>0</f>
        <v>0</v>
      </c>
      <c r="F320" s="8">
        <f>0</f>
        <v>0</v>
      </c>
      <c r="G320" s="12" t="s">
        <v>10</v>
      </c>
      <c r="H320" s="13">
        <f>0</f>
        <v>0</v>
      </c>
    </row>
    <row r="321" spans="1:8" ht="15.75" thickBot="1" x14ac:dyDescent="0.3">
      <c r="A321" s="38" t="s">
        <v>18</v>
      </c>
      <c r="B321" s="39"/>
      <c r="C321" s="39"/>
      <c r="D321" s="40"/>
      <c r="E321" s="32">
        <f>E306+E310+E312+E317+E319</f>
        <v>65988.149999999994</v>
      </c>
      <c r="F321" s="29">
        <f>F306+F310+F312+F317+F319</f>
        <v>63456.509999999995</v>
      </c>
      <c r="G321" s="30" t="s">
        <v>813</v>
      </c>
      <c r="H321" s="31">
        <f>H306+H310+H312+H317+H319</f>
        <v>63456.509999999995</v>
      </c>
    </row>
    <row r="322" spans="1:8" ht="24" x14ac:dyDescent="0.25">
      <c r="A322" s="51">
        <v>10</v>
      </c>
      <c r="B322" s="47" t="s">
        <v>192</v>
      </c>
      <c r="C322" s="5" t="s">
        <v>8</v>
      </c>
      <c r="D322" s="5" t="s">
        <v>819</v>
      </c>
      <c r="E322" s="15">
        <f>E323</f>
        <v>0</v>
      </c>
      <c r="F322" s="15">
        <f>F323</f>
        <v>0</v>
      </c>
      <c r="G322" s="16" t="s">
        <v>10</v>
      </c>
      <c r="H322" s="17">
        <f>H323</f>
        <v>0</v>
      </c>
    </row>
    <row r="323" spans="1:8" ht="36" x14ac:dyDescent="0.25">
      <c r="A323" s="51"/>
      <c r="B323" s="47"/>
      <c r="C323" s="7" t="s">
        <v>36</v>
      </c>
      <c r="D323" s="7" t="s">
        <v>820</v>
      </c>
      <c r="E323" s="8">
        <f>0</f>
        <v>0</v>
      </c>
      <c r="F323" s="8">
        <f>0</f>
        <v>0</v>
      </c>
      <c r="G323" s="12" t="s">
        <v>10</v>
      </c>
      <c r="H323" s="13">
        <f>0</f>
        <v>0</v>
      </c>
    </row>
    <row r="324" spans="1:8" ht="24" x14ac:dyDescent="0.25">
      <c r="A324" s="51"/>
      <c r="B324" s="47"/>
      <c r="C324" s="5" t="s">
        <v>25</v>
      </c>
      <c r="D324" s="5" t="s">
        <v>193</v>
      </c>
      <c r="E324" s="6">
        <f>E325+E326</f>
        <v>0</v>
      </c>
      <c r="F324" s="6">
        <f>F325+F326</f>
        <v>0</v>
      </c>
      <c r="G324" s="10" t="s">
        <v>10</v>
      </c>
      <c r="H324" s="11">
        <f>H325+H326</f>
        <v>0</v>
      </c>
    </row>
    <row r="325" spans="1:8" ht="48" x14ac:dyDescent="0.25">
      <c r="A325" s="51"/>
      <c r="B325" s="47"/>
      <c r="C325" s="7" t="s">
        <v>36</v>
      </c>
      <c r="D325" s="7" t="s">
        <v>821</v>
      </c>
      <c r="E325" s="8">
        <f>0</f>
        <v>0</v>
      </c>
      <c r="F325" s="8">
        <f>0</f>
        <v>0</v>
      </c>
      <c r="G325" s="12" t="s">
        <v>10</v>
      </c>
      <c r="H325" s="13">
        <f>0</f>
        <v>0</v>
      </c>
    </row>
    <row r="326" spans="1:8" ht="36" x14ac:dyDescent="0.25">
      <c r="A326" s="51"/>
      <c r="B326" s="47"/>
      <c r="C326" s="7" t="s">
        <v>30</v>
      </c>
      <c r="D326" s="7" t="s">
        <v>194</v>
      </c>
      <c r="E326" s="8">
        <f>0</f>
        <v>0</v>
      </c>
      <c r="F326" s="8">
        <f>0</f>
        <v>0</v>
      </c>
      <c r="G326" s="12" t="s">
        <v>10</v>
      </c>
      <c r="H326" s="13">
        <f>0</f>
        <v>0</v>
      </c>
    </row>
    <row r="327" spans="1:8" ht="24" x14ac:dyDescent="0.25">
      <c r="A327" s="51"/>
      <c r="B327" s="47"/>
      <c r="C327" s="5" t="s">
        <v>29</v>
      </c>
      <c r="D327" s="5" t="s">
        <v>195</v>
      </c>
      <c r="E327" s="6">
        <f>E328+E329+E330</f>
        <v>0</v>
      </c>
      <c r="F327" s="6">
        <f>F328+F329+F330</f>
        <v>0</v>
      </c>
      <c r="G327" s="10" t="s">
        <v>10</v>
      </c>
      <c r="H327" s="11">
        <f>H328+H329+H330</f>
        <v>0</v>
      </c>
    </row>
    <row r="328" spans="1:8" ht="24" x14ac:dyDescent="0.25">
      <c r="A328" s="51"/>
      <c r="B328" s="47"/>
      <c r="C328" s="7" t="s">
        <v>21</v>
      </c>
      <c r="D328" s="7" t="s">
        <v>196</v>
      </c>
      <c r="E328" s="8">
        <f>0</f>
        <v>0</v>
      </c>
      <c r="F328" s="8">
        <f>0</f>
        <v>0</v>
      </c>
      <c r="G328" s="12" t="s">
        <v>10</v>
      </c>
      <c r="H328" s="13">
        <f>0</f>
        <v>0</v>
      </c>
    </row>
    <row r="329" spans="1:8" ht="24" x14ac:dyDescent="0.25">
      <c r="A329" s="51"/>
      <c r="B329" s="47"/>
      <c r="C329" s="7" t="s">
        <v>36</v>
      </c>
      <c r="D329" s="7" t="s">
        <v>822</v>
      </c>
      <c r="E329" s="8">
        <f>0</f>
        <v>0</v>
      </c>
      <c r="F329" s="8">
        <f>0</f>
        <v>0</v>
      </c>
      <c r="G329" s="12" t="s">
        <v>10</v>
      </c>
      <c r="H329" s="13">
        <f>0</f>
        <v>0</v>
      </c>
    </row>
    <row r="330" spans="1:8" ht="24" x14ac:dyDescent="0.25">
      <c r="A330" s="51"/>
      <c r="B330" s="47"/>
      <c r="C330" s="7" t="s">
        <v>11</v>
      </c>
      <c r="D330" s="7" t="s">
        <v>197</v>
      </c>
      <c r="E330" s="8">
        <f>0</f>
        <v>0</v>
      </c>
      <c r="F330" s="8">
        <f>0</f>
        <v>0</v>
      </c>
      <c r="G330" s="12" t="s">
        <v>10</v>
      </c>
      <c r="H330" s="13">
        <f>0</f>
        <v>0</v>
      </c>
    </row>
    <row r="331" spans="1:8" x14ac:dyDescent="0.25">
      <c r="A331" s="51"/>
      <c r="B331" s="47"/>
      <c r="C331" s="5" t="s">
        <v>39</v>
      </c>
      <c r="D331" s="5" t="s">
        <v>40</v>
      </c>
      <c r="E331" s="6">
        <f>E332</f>
        <v>662</v>
      </c>
      <c r="F331" s="6">
        <f>F332</f>
        <v>625.54999999999995</v>
      </c>
      <c r="G331" s="10" t="s">
        <v>823</v>
      </c>
      <c r="H331" s="11">
        <f>H332</f>
        <v>625.54999999999995</v>
      </c>
    </row>
    <row r="332" spans="1:8" ht="24" x14ac:dyDescent="0.25">
      <c r="A332" s="51"/>
      <c r="B332" s="47"/>
      <c r="C332" s="7" t="s">
        <v>21</v>
      </c>
      <c r="D332" s="7" t="s">
        <v>41</v>
      </c>
      <c r="E332" s="8">
        <f>E333+E334+E335+E336</f>
        <v>662</v>
      </c>
      <c r="F332" s="8">
        <f>F333+F334+F335+F336</f>
        <v>625.54999999999995</v>
      </c>
      <c r="G332" s="12" t="s">
        <v>823</v>
      </c>
      <c r="H332" s="13">
        <f>H333+H334+H335+H336</f>
        <v>625.54999999999995</v>
      </c>
    </row>
    <row r="333" spans="1:8" ht="24" x14ac:dyDescent="0.25">
      <c r="A333" s="51"/>
      <c r="B333" s="47"/>
      <c r="C333" s="9" t="s">
        <v>525</v>
      </c>
      <c r="D333" s="7" t="s">
        <v>198</v>
      </c>
      <c r="E333" s="8">
        <f>662</f>
        <v>662</v>
      </c>
      <c r="F333" s="8">
        <f>625.55</f>
        <v>625.54999999999995</v>
      </c>
      <c r="G333" s="12" t="s">
        <v>823</v>
      </c>
      <c r="H333" s="13">
        <f>625.55</f>
        <v>625.54999999999995</v>
      </c>
    </row>
    <row r="334" spans="1:8" ht="24" x14ac:dyDescent="0.25">
      <c r="A334" s="51"/>
      <c r="B334" s="47"/>
      <c r="C334" s="9" t="s">
        <v>529</v>
      </c>
      <c r="D334" s="7" t="s">
        <v>482</v>
      </c>
      <c r="E334" s="8">
        <f>0</f>
        <v>0</v>
      </c>
      <c r="F334" s="8">
        <f>0</f>
        <v>0</v>
      </c>
      <c r="G334" s="12" t="s">
        <v>10</v>
      </c>
      <c r="H334" s="13">
        <f>0</f>
        <v>0</v>
      </c>
    </row>
    <row r="335" spans="1:8" ht="24" x14ac:dyDescent="0.25">
      <c r="A335" s="51"/>
      <c r="B335" s="47"/>
      <c r="C335" s="9" t="s">
        <v>539</v>
      </c>
      <c r="D335" s="7" t="s">
        <v>483</v>
      </c>
      <c r="E335" s="8">
        <f>0</f>
        <v>0</v>
      </c>
      <c r="F335" s="8">
        <f>0</f>
        <v>0</v>
      </c>
      <c r="G335" s="12" t="s">
        <v>10</v>
      </c>
      <c r="H335" s="13">
        <f>0</f>
        <v>0</v>
      </c>
    </row>
    <row r="336" spans="1:8" ht="36" x14ac:dyDescent="0.25">
      <c r="A336" s="51"/>
      <c r="B336" s="47"/>
      <c r="C336" s="9" t="s">
        <v>533</v>
      </c>
      <c r="D336" s="7" t="s">
        <v>484</v>
      </c>
      <c r="E336" s="8">
        <f>0</f>
        <v>0</v>
      </c>
      <c r="F336" s="8">
        <f>0</f>
        <v>0</v>
      </c>
      <c r="G336" s="12" t="s">
        <v>10</v>
      </c>
      <c r="H336" s="13">
        <f>0</f>
        <v>0</v>
      </c>
    </row>
    <row r="337" spans="1:8" ht="15.75" thickBot="1" x14ac:dyDescent="0.3">
      <c r="A337" s="38" t="s">
        <v>18</v>
      </c>
      <c r="B337" s="39"/>
      <c r="C337" s="39"/>
      <c r="D337" s="40"/>
      <c r="E337" s="32">
        <f>E322+E324+E327+E331</f>
        <v>662</v>
      </c>
      <c r="F337" s="29">
        <f>F322+F324+F327+F331</f>
        <v>625.54999999999995</v>
      </c>
      <c r="G337" s="30" t="s">
        <v>823</v>
      </c>
      <c r="H337" s="31">
        <f>H322+H324+H327+H331</f>
        <v>625.54999999999995</v>
      </c>
    </row>
    <row r="338" spans="1:8" ht="18.600000000000001" customHeight="1" x14ac:dyDescent="0.25">
      <c r="A338" s="51">
        <v>11</v>
      </c>
      <c r="B338" s="47" t="s">
        <v>199</v>
      </c>
      <c r="C338" s="5" t="s">
        <v>8</v>
      </c>
      <c r="D338" s="5" t="s">
        <v>200</v>
      </c>
      <c r="E338" s="15">
        <f>E339+E340+E363+E364</f>
        <v>46194.37</v>
      </c>
      <c r="F338" s="15">
        <f>F339+F340+F363+F364</f>
        <v>46101.45</v>
      </c>
      <c r="G338" s="16" t="s">
        <v>736</v>
      </c>
      <c r="H338" s="17">
        <f>H339+H340+H363+H364</f>
        <v>46101.45</v>
      </c>
    </row>
    <row r="339" spans="1:8" ht="24" x14ac:dyDescent="0.25">
      <c r="A339" s="51"/>
      <c r="B339" s="47"/>
      <c r="C339" s="7" t="s">
        <v>36</v>
      </c>
      <c r="D339" s="7" t="s">
        <v>201</v>
      </c>
      <c r="E339" s="8">
        <f>0</f>
        <v>0</v>
      </c>
      <c r="F339" s="8">
        <f>0</f>
        <v>0</v>
      </c>
      <c r="G339" s="12" t="s">
        <v>10</v>
      </c>
      <c r="H339" s="13">
        <f>0</f>
        <v>0</v>
      </c>
    </row>
    <row r="340" spans="1:8" ht="24" x14ac:dyDescent="0.25">
      <c r="A340" s="51"/>
      <c r="B340" s="47"/>
      <c r="C340" s="7" t="s">
        <v>92</v>
      </c>
      <c r="D340" s="7" t="s">
        <v>202</v>
      </c>
      <c r="E340" s="8">
        <f>E341</f>
        <v>46194.37</v>
      </c>
      <c r="F340" s="8">
        <f>F341</f>
        <v>46101.45</v>
      </c>
      <c r="G340" s="12" t="s">
        <v>736</v>
      </c>
      <c r="H340" s="13">
        <f>H341</f>
        <v>46101.45</v>
      </c>
    </row>
    <row r="341" spans="1:8" ht="60" x14ac:dyDescent="0.25">
      <c r="A341" s="51"/>
      <c r="B341" s="47"/>
      <c r="C341" s="9" t="s">
        <v>622</v>
      </c>
      <c r="D341" s="18" t="s">
        <v>203</v>
      </c>
      <c r="E341" s="8">
        <f>E342+E343+E344+E349+E350+E351+E352+E353+E354+E355+E356+E357+E358+E359+E360+E361+E362</f>
        <v>46194.37</v>
      </c>
      <c r="F341" s="8">
        <f>F342+F343+F344+F349+F350+F351+F352+F353+F354+F355+F356+F357+F358+F359+F360+F361+F362</f>
        <v>46101.45</v>
      </c>
      <c r="G341" s="12" t="s">
        <v>736</v>
      </c>
      <c r="H341" s="13">
        <f>H342+H343+H344+H349+H350+H351+H352+H353+H354+H355+H356+H357+H358+H359+H360+H361+H362</f>
        <v>46101.45</v>
      </c>
    </row>
    <row r="342" spans="1:8" ht="49.9" customHeight="1" x14ac:dyDescent="0.25">
      <c r="A342" s="51"/>
      <c r="B342" s="47"/>
      <c r="C342" s="9" t="s">
        <v>624</v>
      </c>
      <c r="D342" s="7" t="s">
        <v>373</v>
      </c>
      <c r="E342" s="8">
        <f>0</f>
        <v>0</v>
      </c>
      <c r="F342" s="8">
        <f>0</f>
        <v>0</v>
      </c>
      <c r="G342" s="12" t="s">
        <v>10</v>
      </c>
      <c r="H342" s="13">
        <f>0</f>
        <v>0</v>
      </c>
    </row>
    <row r="343" spans="1:8" ht="60" x14ac:dyDescent="0.25">
      <c r="A343" s="51"/>
      <c r="B343" s="47"/>
      <c r="C343" s="9" t="s">
        <v>625</v>
      </c>
      <c r="D343" s="7" t="s">
        <v>374</v>
      </c>
      <c r="E343" s="8">
        <f>0</f>
        <v>0</v>
      </c>
      <c r="F343" s="8">
        <f>0</f>
        <v>0</v>
      </c>
      <c r="G343" s="12" t="s">
        <v>10</v>
      </c>
      <c r="H343" s="13">
        <f>0</f>
        <v>0</v>
      </c>
    </row>
    <row r="344" spans="1:8" ht="24" x14ac:dyDescent="0.25">
      <c r="A344" s="51"/>
      <c r="B344" s="47"/>
      <c r="C344" s="9" t="s">
        <v>626</v>
      </c>
      <c r="D344" s="7" t="s">
        <v>375</v>
      </c>
      <c r="E344" s="8">
        <f>E345+E346+E347+E348</f>
        <v>0</v>
      </c>
      <c r="F344" s="8">
        <f>F345+F346+F347+F348</f>
        <v>0</v>
      </c>
      <c r="G344" s="12" t="s">
        <v>10</v>
      </c>
      <c r="H344" s="13">
        <f>H345+H346+H347+H348</f>
        <v>0</v>
      </c>
    </row>
    <row r="345" spans="1:8" ht="36" x14ac:dyDescent="0.25">
      <c r="A345" s="51"/>
      <c r="B345" s="47"/>
      <c r="C345" s="9" t="s">
        <v>627</v>
      </c>
      <c r="D345" s="7" t="s">
        <v>376</v>
      </c>
      <c r="E345" s="8">
        <f>0</f>
        <v>0</v>
      </c>
      <c r="F345" s="8">
        <f>0</f>
        <v>0</v>
      </c>
      <c r="G345" s="12" t="s">
        <v>10</v>
      </c>
      <c r="H345" s="13">
        <f>0</f>
        <v>0</v>
      </c>
    </row>
    <row r="346" spans="1:8" ht="24" x14ac:dyDescent="0.25">
      <c r="A346" s="51"/>
      <c r="B346" s="47"/>
      <c r="C346" s="9" t="s">
        <v>628</v>
      </c>
      <c r="D346" s="7" t="s">
        <v>377</v>
      </c>
      <c r="E346" s="8">
        <f>0</f>
        <v>0</v>
      </c>
      <c r="F346" s="8">
        <f>0</f>
        <v>0</v>
      </c>
      <c r="G346" s="12" t="s">
        <v>10</v>
      </c>
      <c r="H346" s="13">
        <f>0</f>
        <v>0</v>
      </c>
    </row>
    <row r="347" spans="1:8" ht="48" x14ac:dyDescent="0.25">
      <c r="A347" s="51"/>
      <c r="B347" s="47"/>
      <c r="C347" s="9" t="s">
        <v>629</v>
      </c>
      <c r="D347" s="7" t="s">
        <v>378</v>
      </c>
      <c r="E347" s="8">
        <f>0</f>
        <v>0</v>
      </c>
      <c r="F347" s="8">
        <f>0</f>
        <v>0</v>
      </c>
      <c r="G347" s="12" t="s">
        <v>10</v>
      </c>
      <c r="H347" s="13">
        <f>0</f>
        <v>0</v>
      </c>
    </row>
    <row r="348" spans="1:8" ht="36" x14ac:dyDescent="0.25">
      <c r="A348" s="51"/>
      <c r="B348" s="47"/>
      <c r="C348" s="9" t="s">
        <v>630</v>
      </c>
      <c r="D348" s="7" t="s">
        <v>379</v>
      </c>
      <c r="E348" s="8">
        <f>0</f>
        <v>0</v>
      </c>
      <c r="F348" s="8">
        <f>0</f>
        <v>0</v>
      </c>
      <c r="G348" s="12" t="s">
        <v>10</v>
      </c>
      <c r="H348" s="13">
        <f>0</f>
        <v>0</v>
      </c>
    </row>
    <row r="349" spans="1:8" ht="36" x14ac:dyDescent="0.25">
      <c r="A349" s="51"/>
      <c r="B349" s="47"/>
      <c r="C349" s="9" t="s">
        <v>631</v>
      </c>
      <c r="D349" s="7" t="s">
        <v>485</v>
      </c>
      <c r="E349" s="8">
        <f>2658.45+9514.7+10856.3</f>
        <v>23029.45</v>
      </c>
      <c r="F349" s="8">
        <f>2655.98+9506.01+10846.21</f>
        <v>23008.199999999997</v>
      </c>
      <c r="G349" s="12" t="s">
        <v>738</v>
      </c>
      <c r="H349" s="13">
        <f>2655.98+9506.01+10846.21</f>
        <v>23008.199999999997</v>
      </c>
    </row>
    <row r="350" spans="1:8" ht="60" x14ac:dyDescent="0.25">
      <c r="A350" s="51"/>
      <c r="B350" s="47"/>
      <c r="C350" s="9" t="s">
        <v>632</v>
      </c>
      <c r="D350" s="7" t="s">
        <v>486</v>
      </c>
      <c r="E350" s="8">
        <f>0</f>
        <v>0</v>
      </c>
      <c r="F350" s="8">
        <f>0</f>
        <v>0</v>
      </c>
      <c r="G350" s="12" t="s">
        <v>10</v>
      </c>
      <c r="H350" s="13">
        <f>0</f>
        <v>0</v>
      </c>
    </row>
    <row r="351" spans="1:8" ht="24" x14ac:dyDescent="0.25">
      <c r="A351" s="51"/>
      <c r="B351" s="47"/>
      <c r="C351" s="9" t="s">
        <v>633</v>
      </c>
      <c r="D351" s="7" t="s">
        <v>634</v>
      </c>
      <c r="E351" s="8">
        <f>930.83+3331.52+3801.22</f>
        <v>8063.57</v>
      </c>
      <c r="F351" s="8">
        <f>923.49+3305.26+3771.25</f>
        <v>8000</v>
      </c>
      <c r="G351" s="12" t="s">
        <v>824</v>
      </c>
      <c r="H351" s="13">
        <f>923.49+3305.26+3771.25</f>
        <v>8000</v>
      </c>
    </row>
    <row r="352" spans="1:8" ht="24" x14ac:dyDescent="0.25">
      <c r="A352" s="51"/>
      <c r="B352" s="47"/>
      <c r="C352" s="9" t="s">
        <v>635</v>
      </c>
      <c r="D352" s="7" t="s">
        <v>636</v>
      </c>
      <c r="E352" s="8">
        <f>730.08+2613.04+2981.44</f>
        <v>6324.5599999999995</v>
      </c>
      <c r="F352" s="8">
        <f>730.08+2613.04+2981.44</f>
        <v>6324.5599999999995</v>
      </c>
      <c r="G352" s="12" t="s">
        <v>550</v>
      </c>
      <c r="H352" s="13">
        <f>730.08+2613.04+2981.44</f>
        <v>6324.5599999999995</v>
      </c>
    </row>
    <row r="353" spans="1:8" ht="48" x14ac:dyDescent="0.25">
      <c r="A353" s="51"/>
      <c r="B353" s="47"/>
      <c r="C353" s="9" t="s">
        <v>637</v>
      </c>
      <c r="D353" s="7" t="s">
        <v>638</v>
      </c>
      <c r="E353" s="8">
        <f>85.47</f>
        <v>85.47</v>
      </c>
      <c r="F353" s="8">
        <f>85.47</f>
        <v>85.47</v>
      </c>
      <c r="G353" s="12" t="s">
        <v>550</v>
      </c>
      <c r="H353" s="13">
        <f>85.47</f>
        <v>85.47</v>
      </c>
    </row>
    <row r="354" spans="1:8" ht="24" x14ac:dyDescent="0.25">
      <c r="A354" s="51"/>
      <c r="B354" s="47"/>
      <c r="C354" s="9" t="s">
        <v>639</v>
      </c>
      <c r="D354" s="7" t="s">
        <v>640</v>
      </c>
      <c r="E354" s="8">
        <f>477.98+1710.59+1951.93</f>
        <v>4140.5</v>
      </c>
      <c r="F354" s="8">
        <f>477.03+1707.33+1948.04</f>
        <v>4132.3999999999996</v>
      </c>
      <c r="G354" s="12" t="s">
        <v>736</v>
      </c>
      <c r="H354" s="13">
        <f>477.03+1707.33+1948.04</f>
        <v>4132.3999999999996</v>
      </c>
    </row>
    <row r="355" spans="1:8" ht="24" x14ac:dyDescent="0.25">
      <c r="A355" s="51"/>
      <c r="B355" s="47"/>
      <c r="C355" s="9" t="s">
        <v>641</v>
      </c>
      <c r="D355" s="7" t="s">
        <v>642</v>
      </c>
      <c r="E355" s="8">
        <f>519.56+1859.55+2121.71</f>
        <v>4500.82</v>
      </c>
      <c r="F355" s="8">
        <f>519.56+1859.55+2121.71</f>
        <v>4500.82</v>
      </c>
      <c r="G355" s="12" t="s">
        <v>550</v>
      </c>
      <c r="H355" s="13">
        <f>519.56+1859.55+2121.71</f>
        <v>4500.82</v>
      </c>
    </row>
    <row r="356" spans="1:8" ht="24" x14ac:dyDescent="0.25">
      <c r="A356" s="51"/>
      <c r="B356" s="47"/>
      <c r="C356" s="9" t="s">
        <v>643</v>
      </c>
      <c r="D356" s="7" t="s">
        <v>644</v>
      </c>
      <c r="E356" s="8">
        <f>50</f>
        <v>50</v>
      </c>
      <c r="F356" s="8">
        <f>50</f>
        <v>50</v>
      </c>
      <c r="G356" s="12" t="s">
        <v>550</v>
      </c>
      <c r="H356" s="13">
        <f>50</f>
        <v>50</v>
      </c>
    </row>
    <row r="357" spans="1:8" ht="36" x14ac:dyDescent="0.25">
      <c r="A357" s="51"/>
      <c r="B357" s="47"/>
      <c r="C357" s="9" t="s">
        <v>825</v>
      </c>
      <c r="D357" s="7" t="s">
        <v>826</v>
      </c>
      <c r="E357" s="8">
        <f>0</f>
        <v>0</v>
      </c>
      <c r="F357" s="8">
        <f>0</f>
        <v>0</v>
      </c>
      <c r="G357" s="12" t="s">
        <v>827</v>
      </c>
      <c r="H357" s="13">
        <f>0</f>
        <v>0</v>
      </c>
    </row>
    <row r="358" spans="1:8" ht="48" x14ac:dyDescent="0.25">
      <c r="A358" s="51"/>
      <c r="B358" s="47"/>
      <c r="C358" s="9" t="s">
        <v>828</v>
      </c>
      <c r="D358" s="7" t="s">
        <v>829</v>
      </c>
      <c r="E358" s="8">
        <f>0</f>
        <v>0</v>
      </c>
      <c r="F358" s="8">
        <f>0</f>
        <v>0</v>
      </c>
      <c r="G358" s="12" t="s">
        <v>830</v>
      </c>
      <c r="H358" s="13">
        <f>0</f>
        <v>0</v>
      </c>
    </row>
    <row r="359" spans="1:8" ht="48" x14ac:dyDescent="0.25">
      <c r="A359" s="51"/>
      <c r="B359" s="47"/>
      <c r="C359" s="9" t="s">
        <v>831</v>
      </c>
      <c r="D359" s="7" t="s">
        <v>832</v>
      </c>
      <c r="E359" s="8">
        <f>0</f>
        <v>0</v>
      </c>
      <c r="F359" s="8">
        <f>0</f>
        <v>0</v>
      </c>
      <c r="G359" s="12" t="s">
        <v>830</v>
      </c>
      <c r="H359" s="13">
        <f>0</f>
        <v>0</v>
      </c>
    </row>
    <row r="360" spans="1:8" ht="48" x14ac:dyDescent="0.25">
      <c r="A360" s="51"/>
      <c r="B360" s="47"/>
      <c r="C360" s="9" t="s">
        <v>833</v>
      </c>
      <c r="D360" s="7" t="s">
        <v>834</v>
      </c>
      <c r="E360" s="8">
        <f>0</f>
        <v>0</v>
      </c>
      <c r="F360" s="8">
        <f>0</f>
        <v>0</v>
      </c>
      <c r="G360" s="12" t="s">
        <v>830</v>
      </c>
      <c r="H360" s="13">
        <f>0</f>
        <v>0</v>
      </c>
    </row>
    <row r="361" spans="1:8" ht="48" x14ac:dyDescent="0.25">
      <c r="A361" s="51"/>
      <c r="B361" s="47"/>
      <c r="C361" s="9" t="s">
        <v>835</v>
      </c>
      <c r="D361" s="7" t="s">
        <v>836</v>
      </c>
      <c r="E361" s="8">
        <f>0</f>
        <v>0</v>
      </c>
      <c r="F361" s="8">
        <f>0</f>
        <v>0</v>
      </c>
      <c r="G361" s="12" t="s">
        <v>830</v>
      </c>
      <c r="H361" s="13">
        <f>0</f>
        <v>0</v>
      </c>
    </row>
    <row r="362" spans="1:8" ht="60" x14ac:dyDescent="0.25">
      <c r="A362" s="51"/>
      <c r="B362" s="47"/>
      <c r="C362" s="9" t="s">
        <v>837</v>
      </c>
      <c r="D362" s="7" t="s">
        <v>838</v>
      </c>
      <c r="E362" s="8">
        <f>0</f>
        <v>0</v>
      </c>
      <c r="F362" s="8">
        <f>0</f>
        <v>0</v>
      </c>
      <c r="G362" s="12" t="s">
        <v>830</v>
      </c>
      <c r="H362" s="13">
        <f>0</f>
        <v>0</v>
      </c>
    </row>
    <row r="363" spans="1:8" ht="24" x14ac:dyDescent="0.25">
      <c r="A363" s="51"/>
      <c r="B363" s="47"/>
      <c r="C363" s="7" t="s">
        <v>184</v>
      </c>
      <c r="D363" s="7" t="s">
        <v>204</v>
      </c>
      <c r="E363" s="8">
        <f>0</f>
        <v>0</v>
      </c>
      <c r="F363" s="8">
        <f>0</f>
        <v>0</v>
      </c>
      <c r="G363" s="12" t="s">
        <v>10</v>
      </c>
      <c r="H363" s="13">
        <f>0</f>
        <v>0</v>
      </c>
    </row>
    <row r="364" spans="1:8" ht="36" x14ac:dyDescent="0.25">
      <c r="A364" s="51"/>
      <c r="B364" s="47"/>
      <c r="C364" s="7" t="s">
        <v>205</v>
      </c>
      <c r="D364" s="7" t="s">
        <v>487</v>
      </c>
      <c r="E364" s="8">
        <f>0</f>
        <v>0</v>
      </c>
      <c r="F364" s="8">
        <f>0</f>
        <v>0</v>
      </c>
      <c r="G364" s="12" t="s">
        <v>830</v>
      </c>
      <c r="H364" s="13">
        <f>0</f>
        <v>0</v>
      </c>
    </row>
    <row r="365" spans="1:8" ht="24" x14ac:dyDescent="0.25">
      <c r="A365" s="51"/>
      <c r="B365" s="47"/>
      <c r="C365" s="5" t="s">
        <v>20</v>
      </c>
      <c r="D365" s="5" t="s">
        <v>206</v>
      </c>
      <c r="E365" s="6">
        <f>E366+E367+E368+E369</f>
        <v>0</v>
      </c>
      <c r="F365" s="6">
        <f>F366+F367+F368+F369</f>
        <v>0</v>
      </c>
      <c r="G365" s="10" t="s">
        <v>10</v>
      </c>
      <c r="H365" s="11">
        <f>H366+H367+H368+H369</f>
        <v>0</v>
      </c>
    </row>
    <row r="366" spans="1:8" ht="24" x14ac:dyDescent="0.25">
      <c r="A366" s="51"/>
      <c r="B366" s="47"/>
      <c r="C366" s="7" t="s">
        <v>21</v>
      </c>
      <c r="D366" s="7" t="s">
        <v>207</v>
      </c>
      <c r="E366" s="8">
        <f>0</f>
        <v>0</v>
      </c>
      <c r="F366" s="8">
        <f>0</f>
        <v>0</v>
      </c>
      <c r="G366" s="12" t="s">
        <v>10</v>
      </c>
      <c r="H366" s="13">
        <f>0</f>
        <v>0</v>
      </c>
    </row>
    <row r="367" spans="1:8" ht="24" x14ac:dyDescent="0.25">
      <c r="A367" s="51"/>
      <c r="B367" s="47"/>
      <c r="C367" s="7" t="s">
        <v>36</v>
      </c>
      <c r="D367" s="7" t="s">
        <v>208</v>
      </c>
      <c r="E367" s="8">
        <f>0</f>
        <v>0</v>
      </c>
      <c r="F367" s="8">
        <f>0</f>
        <v>0</v>
      </c>
      <c r="G367" s="12" t="s">
        <v>10</v>
      </c>
      <c r="H367" s="13">
        <f>0</f>
        <v>0</v>
      </c>
    </row>
    <row r="368" spans="1:8" ht="48" x14ac:dyDescent="0.25">
      <c r="A368" s="51"/>
      <c r="B368" s="47"/>
      <c r="C368" s="7" t="s">
        <v>11</v>
      </c>
      <c r="D368" s="7" t="s">
        <v>209</v>
      </c>
      <c r="E368" s="8">
        <f>0</f>
        <v>0</v>
      </c>
      <c r="F368" s="8">
        <f>0</f>
        <v>0</v>
      </c>
      <c r="G368" s="12" t="s">
        <v>10</v>
      </c>
      <c r="H368" s="13">
        <f>0</f>
        <v>0</v>
      </c>
    </row>
    <row r="369" spans="1:8" ht="24" x14ac:dyDescent="0.25">
      <c r="A369" s="51"/>
      <c r="B369" s="47"/>
      <c r="C369" s="7" t="s">
        <v>92</v>
      </c>
      <c r="D369" s="7" t="s">
        <v>210</v>
      </c>
      <c r="E369" s="8">
        <f>0</f>
        <v>0</v>
      </c>
      <c r="F369" s="8">
        <f>0</f>
        <v>0</v>
      </c>
      <c r="G369" s="12" t="s">
        <v>10</v>
      </c>
      <c r="H369" s="13">
        <f>0</f>
        <v>0</v>
      </c>
    </row>
    <row r="370" spans="1:8" x14ac:dyDescent="0.25">
      <c r="A370" s="51"/>
      <c r="B370" s="47"/>
      <c r="C370" s="5" t="s">
        <v>25</v>
      </c>
      <c r="D370" s="5" t="s">
        <v>211</v>
      </c>
      <c r="E370" s="6">
        <f>E371+E376</f>
        <v>5831.4</v>
      </c>
      <c r="F370" s="6">
        <f>F371+F376</f>
        <v>5831.4</v>
      </c>
      <c r="G370" s="10" t="s">
        <v>550</v>
      </c>
      <c r="H370" s="11">
        <f>H371+H376</f>
        <v>5831.4</v>
      </c>
    </row>
    <row r="371" spans="1:8" ht="24" x14ac:dyDescent="0.25">
      <c r="A371" s="51"/>
      <c r="B371" s="47"/>
      <c r="C371" s="7" t="s">
        <v>36</v>
      </c>
      <c r="D371" s="7" t="s">
        <v>215</v>
      </c>
      <c r="E371" s="8">
        <f>E372+E373+E374+E375</f>
        <v>5831.4</v>
      </c>
      <c r="F371" s="8">
        <f>F372+F373+F374+F375</f>
        <v>5831.4</v>
      </c>
      <c r="G371" s="12" t="s">
        <v>550</v>
      </c>
      <c r="H371" s="13">
        <f>H372+H373+H374+H375</f>
        <v>5831.4</v>
      </c>
    </row>
    <row r="372" spans="1:8" ht="36" x14ac:dyDescent="0.25">
      <c r="A372" s="51"/>
      <c r="B372" s="47"/>
      <c r="C372" s="9" t="s">
        <v>540</v>
      </c>
      <c r="D372" s="7" t="s">
        <v>216</v>
      </c>
      <c r="E372" s="8">
        <f>0</f>
        <v>0</v>
      </c>
      <c r="F372" s="8">
        <f>0</f>
        <v>0</v>
      </c>
      <c r="G372" s="12" t="s">
        <v>10</v>
      </c>
      <c r="H372" s="13">
        <f>0</f>
        <v>0</v>
      </c>
    </row>
    <row r="373" spans="1:8" ht="48" x14ac:dyDescent="0.25">
      <c r="A373" s="51"/>
      <c r="B373" s="47"/>
      <c r="C373" s="9" t="s">
        <v>541</v>
      </c>
      <c r="D373" s="7" t="s">
        <v>217</v>
      </c>
      <c r="E373" s="8">
        <f>5831.4</f>
        <v>5831.4</v>
      </c>
      <c r="F373" s="8">
        <f>5831.4</f>
        <v>5831.4</v>
      </c>
      <c r="G373" s="12" t="s">
        <v>550</v>
      </c>
      <c r="H373" s="13">
        <f>5831.4</f>
        <v>5831.4</v>
      </c>
    </row>
    <row r="374" spans="1:8" ht="168" x14ac:dyDescent="0.25">
      <c r="A374" s="51"/>
      <c r="B374" s="47"/>
      <c r="C374" s="9" t="s">
        <v>542</v>
      </c>
      <c r="D374" s="18" t="s">
        <v>218</v>
      </c>
      <c r="E374" s="8">
        <f>0</f>
        <v>0</v>
      </c>
      <c r="F374" s="8">
        <f>0</f>
        <v>0</v>
      </c>
      <c r="G374" s="12" t="s">
        <v>10</v>
      </c>
      <c r="H374" s="13">
        <f>0</f>
        <v>0</v>
      </c>
    </row>
    <row r="375" spans="1:8" ht="24" x14ac:dyDescent="0.25">
      <c r="A375" s="51"/>
      <c r="B375" s="47"/>
      <c r="C375" s="9" t="s">
        <v>543</v>
      </c>
      <c r="D375" s="7" t="s">
        <v>219</v>
      </c>
      <c r="E375" s="8">
        <f>0</f>
        <v>0</v>
      </c>
      <c r="F375" s="8">
        <f>0</f>
        <v>0</v>
      </c>
      <c r="G375" s="12" t="s">
        <v>10</v>
      </c>
      <c r="H375" s="13">
        <f>0</f>
        <v>0</v>
      </c>
    </row>
    <row r="376" spans="1:8" ht="24" customHeight="1" x14ac:dyDescent="0.25">
      <c r="A376" s="51"/>
      <c r="B376" s="47"/>
      <c r="C376" s="7" t="s">
        <v>212</v>
      </c>
      <c r="D376" s="7" t="s">
        <v>213</v>
      </c>
      <c r="E376" s="8">
        <f>E377</f>
        <v>0</v>
      </c>
      <c r="F376" s="8">
        <f>F377</f>
        <v>0</v>
      </c>
      <c r="G376" s="12" t="s">
        <v>10</v>
      </c>
      <c r="H376" s="13">
        <f>H377</f>
        <v>0</v>
      </c>
    </row>
    <row r="377" spans="1:8" ht="24" x14ac:dyDescent="0.25">
      <c r="A377" s="51"/>
      <c r="B377" s="47"/>
      <c r="C377" s="9" t="s">
        <v>647</v>
      </c>
      <c r="D377" s="7" t="s">
        <v>214</v>
      </c>
      <c r="E377" s="8">
        <f>0</f>
        <v>0</v>
      </c>
      <c r="F377" s="8">
        <f>0</f>
        <v>0</v>
      </c>
      <c r="G377" s="12" t="s">
        <v>10</v>
      </c>
      <c r="H377" s="13">
        <f>0</f>
        <v>0</v>
      </c>
    </row>
    <row r="378" spans="1:8" ht="24" x14ac:dyDescent="0.25">
      <c r="A378" s="51"/>
      <c r="B378" s="47"/>
      <c r="C378" s="5" t="s">
        <v>29</v>
      </c>
      <c r="D378" s="5" t="s">
        <v>220</v>
      </c>
      <c r="E378" s="6">
        <f>E379+E380+E381+E382</f>
        <v>0</v>
      </c>
      <c r="F378" s="6">
        <f>F379+F380+F381+F382</f>
        <v>0</v>
      </c>
      <c r="G378" s="10" t="s">
        <v>10</v>
      </c>
      <c r="H378" s="11">
        <f>H379+H380+H381+H382</f>
        <v>0</v>
      </c>
    </row>
    <row r="379" spans="1:8" ht="24" x14ac:dyDescent="0.25">
      <c r="A379" s="51"/>
      <c r="B379" s="47"/>
      <c r="C379" s="7" t="s">
        <v>21</v>
      </c>
      <c r="D379" s="7" t="s">
        <v>220</v>
      </c>
      <c r="E379" s="8">
        <f>0</f>
        <v>0</v>
      </c>
      <c r="F379" s="8">
        <f>0</f>
        <v>0</v>
      </c>
      <c r="G379" s="12" t="s">
        <v>10</v>
      </c>
      <c r="H379" s="13">
        <f>0</f>
        <v>0</v>
      </c>
    </row>
    <row r="380" spans="1:8" ht="24" x14ac:dyDescent="0.25">
      <c r="A380" s="51"/>
      <c r="B380" s="47"/>
      <c r="C380" s="7" t="s">
        <v>36</v>
      </c>
      <c r="D380" s="7" t="s">
        <v>221</v>
      </c>
      <c r="E380" s="8">
        <f>0</f>
        <v>0</v>
      </c>
      <c r="F380" s="8">
        <f>0</f>
        <v>0</v>
      </c>
      <c r="G380" s="12" t="s">
        <v>10</v>
      </c>
      <c r="H380" s="13">
        <f>0</f>
        <v>0</v>
      </c>
    </row>
    <row r="381" spans="1:8" ht="24" x14ac:dyDescent="0.25">
      <c r="A381" s="51"/>
      <c r="B381" s="47"/>
      <c r="C381" s="7" t="s">
        <v>11</v>
      </c>
      <c r="D381" s="7" t="s">
        <v>222</v>
      </c>
      <c r="E381" s="8">
        <f>0</f>
        <v>0</v>
      </c>
      <c r="F381" s="8">
        <f>0</f>
        <v>0</v>
      </c>
      <c r="G381" s="12" t="s">
        <v>10</v>
      </c>
      <c r="H381" s="13">
        <f>0</f>
        <v>0</v>
      </c>
    </row>
    <row r="382" spans="1:8" ht="24" x14ac:dyDescent="0.25">
      <c r="A382" s="51"/>
      <c r="B382" s="47"/>
      <c r="C382" s="7" t="s">
        <v>30</v>
      </c>
      <c r="D382" s="7" t="s">
        <v>223</v>
      </c>
      <c r="E382" s="8">
        <f>0</f>
        <v>0</v>
      </c>
      <c r="F382" s="8">
        <f>0</f>
        <v>0</v>
      </c>
      <c r="G382" s="12" t="s">
        <v>10</v>
      </c>
      <c r="H382" s="13">
        <f>0</f>
        <v>0</v>
      </c>
    </row>
    <row r="383" spans="1:8" ht="19.149999999999999" customHeight="1" thickBot="1" x14ac:dyDescent="0.3">
      <c r="A383" s="38" t="s">
        <v>18</v>
      </c>
      <c r="B383" s="39"/>
      <c r="C383" s="39"/>
      <c r="D383" s="40"/>
      <c r="E383" s="32">
        <f>E338+E365+E370+E378</f>
        <v>52025.770000000004</v>
      </c>
      <c r="F383" s="29">
        <f>F338+F365+F370+F378</f>
        <v>51932.85</v>
      </c>
      <c r="G383" s="30" t="s">
        <v>736</v>
      </c>
      <c r="H383" s="31">
        <f>H338+H365+H370+H378</f>
        <v>51932.85</v>
      </c>
    </row>
    <row r="384" spans="1:8" ht="16.899999999999999" customHeight="1" x14ac:dyDescent="0.25">
      <c r="A384" s="51">
        <v>12</v>
      </c>
      <c r="B384" s="47" t="s">
        <v>224</v>
      </c>
      <c r="C384" s="5" t="s">
        <v>8</v>
      </c>
      <c r="D384" s="5" t="s">
        <v>225</v>
      </c>
      <c r="E384" s="15">
        <f>E385+E389+E391</f>
        <v>54993.2</v>
      </c>
      <c r="F384" s="15">
        <f>F385+F389+F391</f>
        <v>54969.78</v>
      </c>
      <c r="G384" s="16" t="s">
        <v>550</v>
      </c>
      <c r="H384" s="17">
        <f>H385+H389+H391</f>
        <v>54969.78</v>
      </c>
    </row>
    <row r="385" spans="1:8" ht="24" x14ac:dyDescent="0.25">
      <c r="A385" s="51"/>
      <c r="B385" s="47"/>
      <c r="C385" s="7" t="s">
        <v>36</v>
      </c>
      <c r="D385" s="7" t="s">
        <v>226</v>
      </c>
      <c r="E385" s="8">
        <f>E386+E387+E388</f>
        <v>30817.58</v>
      </c>
      <c r="F385" s="8">
        <f>F386+F387+F388</f>
        <v>30817.57</v>
      </c>
      <c r="G385" s="12" t="s">
        <v>550</v>
      </c>
      <c r="H385" s="13">
        <f>H386+H387+H388</f>
        <v>30817.57</v>
      </c>
    </row>
    <row r="386" spans="1:8" ht="36" x14ac:dyDescent="0.25">
      <c r="A386" s="51"/>
      <c r="B386" s="47"/>
      <c r="C386" s="9" t="s">
        <v>540</v>
      </c>
      <c r="D386" s="7" t="s">
        <v>227</v>
      </c>
      <c r="E386" s="8">
        <f>8025.95</f>
        <v>8025.95</v>
      </c>
      <c r="F386" s="8">
        <f>8025.95</f>
        <v>8025.95</v>
      </c>
      <c r="G386" s="12" t="s">
        <v>550</v>
      </c>
      <c r="H386" s="13">
        <f>8025.95</f>
        <v>8025.95</v>
      </c>
    </row>
    <row r="387" spans="1:8" ht="24" x14ac:dyDescent="0.25">
      <c r="A387" s="51"/>
      <c r="B387" s="47"/>
      <c r="C387" s="9" t="s">
        <v>541</v>
      </c>
      <c r="D387" s="7" t="s">
        <v>228</v>
      </c>
      <c r="E387" s="8">
        <f>22576.83</f>
        <v>22576.83</v>
      </c>
      <c r="F387" s="8">
        <f>22576.82</f>
        <v>22576.82</v>
      </c>
      <c r="G387" s="12" t="s">
        <v>550</v>
      </c>
      <c r="H387" s="13">
        <f>22576.82</f>
        <v>22576.82</v>
      </c>
    </row>
    <row r="388" spans="1:8" ht="48" x14ac:dyDescent="0.25">
      <c r="A388" s="51"/>
      <c r="B388" s="47"/>
      <c r="C388" s="9" t="s">
        <v>542</v>
      </c>
      <c r="D388" s="7" t="s">
        <v>229</v>
      </c>
      <c r="E388" s="8">
        <f>214.8</f>
        <v>214.8</v>
      </c>
      <c r="F388" s="8">
        <f>214.8</f>
        <v>214.8</v>
      </c>
      <c r="G388" s="12" t="s">
        <v>550</v>
      </c>
      <c r="H388" s="13">
        <f>214.8</f>
        <v>214.8</v>
      </c>
    </row>
    <row r="389" spans="1:8" ht="24" x14ac:dyDescent="0.25">
      <c r="A389" s="51"/>
      <c r="B389" s="47"/>
      <c r="C389" s="7" t="s">
        <v>11</v>
      </c>
      <c r="D389" s="7" t="s">
        <v>230</v>
      </c>
      <c r="E389" s="8">
        <f>E390</f>
        <v>1968</v>
      </c>
      <c r="F389" s="8">
        <f>F390</f>
        <v>1968</v>
      </c>
      <c r="G389" s="12" t="s">
        <v>550</v>
      </c>
      <c r="H389" s="13">
        <f>H390</f>
        <v>1968</v>
      </c>
    </row>
    <row r="390" spans="1:8" ht="24" x14ac:dyDescent="0.25">
      <c r="A390" s="51"/>
      <c r="B390" s="47"/>
      <c r="C390" s="9" t="s">
        <v>523</v>
      </c>
      <c r="D390" s="7" t="s">
        <v>231</v>
      </c>
      <c r="E390" s="8">
        <f>1968</f>
        <v>1968</v>
      </c>
      <c r="F390" s="8">
        <f>1968</f>
        <v>1968</v>
      </c>
      <c r="G390" s="12" t="s">
        <v>550</v>
      </c>
      <c r="H390" s="13">
        <f>1968</f>
        <v>1968</v>
      </c>
    </row>
    <row r="391" spans="1:8" ht="24" x14ac:dyDescent="0.25">
      <c r="A391" s="51"/>
      <c r="B391" s="47"/>
      <c r="C391" s="7" t="s">
        <v>184</v>
      </c>
      <c r="D391" s="7" t="s">
        <v>41</v>
      </c>
      <c r="E391" s="8">
        <f>E392</f>
        <v>22207.62</v>
      </c>
      <c r="F391" s="8">
        <f>F392</f>
        <v>22184.21</v>
      </c>
      <c r="G391" s="12" t="s">
        <v>738</v>
      </c>
      <c r="H391" s="13">
        <f>H392</f>
        <v>22184.21</v>
      </c>
    </row>
    <row r="392" spans="1:8" ht="24" x14ac:dyDescent="0.25">
      <c r="A392" s="51"/>
      <c r="B392" s="47"/>
      <c r="C392" s="9" t="s">
        <v>623</v>
      </c>
      <c r="D392" s="7" t="s">
        <v>232</v>
      </c>
      <c r="E392" s="8">
        <f>22207.62</f>
        <v>22207.62</v>
      </c>
      <c r="F392" s="8">
        <f>22184.21</f>
        <v>22184.21</v>
      </c>
      <c r="G392" s="12" t="s">
        <v>738</v>
      </c>
      <c r="H392" s="13">
        <f>22184.21</f>
        <v>22184.21</v>
      </c>
    </row>
    <row r="393" spans="1:8" ht="24" x14ac:dyDescent="0.25">
      <c r="A393" s="51"/>
      <c r="B393" s="47"/>
      <c r="C393" s="5" t="s">
        <v>25</v>
      </c>
      <c r="D393" s="5" t="s">
        <v>233</v>
      </c>
      <c r="E393" s="6">
        <f>E394</f>
        <v>0</v>
      </c>
      <c r="F393" s="6">
        <f>F394</f>
        <v>0</v>
      </c>
      <c r="G393" s="10" t="s">
        <v>10</v>
      </c>
      <c r="H393" s="11">
        <f>H394</f>
        <v>0</v>
      </c>
    </row>
    <row r="394" spans="1:8" ht="24" x14ac:dyDescent="0.25">
      <c r="A394" s="51"/>
      <c r="B394" s="47"/>
      <c r="C394" s="7" t="s">
        <v>21</v>
      </c>
      <c r="D394" s="7" t="s">
        <v>234</v>
      </c>
      <c r="E394" s="8">
        <f>E395</f>
        <v>0</v>
      </c>
      <c r="F394" s="8">
        <f>F395</f>
        <v>0</v>
      </c>
      <c r="G394" s="12" t="s">
        <v>10</v>
      </c>
      <c r="H394" s="13">
        <f>H395</f>
        <v>0</v>
      </c>
    </row>
    <row r="395" spans="1:8" ht="36" x14ac:dyDescent="0.25">
      <c r="A395" s="51"/>
      <c r="B395" s="47"/>
      <c r="C395" s="9" t="s">
        <v>529</v>
      </c>
      <c r="D395" s="7" t="s">
        <v>235</v>
      </c>
      <c r="E395" s="8">
        <f>0</f>
        <v>0</v>
      </c>
      <c r="F395" s="8">
        <f>0</f>
        <v>0</v>
      </c>
      <c r="G395" s="12" t="s">
        <v>10</v>
      </c>
      <c r="H395" s="13">
        <f>0</f>
        <v>0</v>
      </c>
    </row>
    <row r="396" spans="1:8" ht="36" x14ac:dyDescent="0.25">
      <c r="A396" s="51"/>
      <c r="B396" s="47"/>
      <c r="C396" s="5" t="s">
        <v>29</v>
      </c>
      <c r="D396" s="5" t="s">
        <v>236</v>
      </c>
      <c r="E396" s="6">
        <f>E397+E398+E399+E402</f>
        <v>840</v>
      </c>
      <c r="F396" s="6">
        <f>F397+F398+F399+F402</f>
        <v>0</v>
      </c>
      <c r="G396" s="10" t="s">
        <v>839</v>
      </c>
      <c r="H396" s="11">
        <f>H397+H398+H399+H402</f>
        <v>0</v>
      </c>
    </row>
    <row r="397" spans="1:8" ht="24" x14ac:dyDescent="0.25">
      <c r="A397" s="51"/>
      <c r="B397" s="47"/>
      <c r="C397" s="7" t="s">
        <v>21</v>
      </c>
      <c r="D397" s="7" t="s">
        <v>237</v>
      </c>
      <c r="E397" s="8">
        <f>0</f>
        <v>0</v>
      </c>
      <c r="F397" s="8">
        <f>0</f>
        <v>0</v>
      </c>
      <c r="G397" s="12" t="s">
        <v>10</v>
      </c>
      <c r="H397" s="13">
        <f>0</f>
        <v>0</v>
      </c>
    </row>
    <row r="398" spans="1:8" ht="48" x14ac:dyDescent="0.25">
      <c r="A398" s="51"/>
      <c r="B398" s="47"/>
      <c r="C398" s="7" t="s">
        <v>30</v>
      </c>
      <c r="D398" s="7" t="s">
        <v>502</v>
      </c>
      <c r="E398" s="8">
        <f>0</f>
        <v>0</v>
      </c>
      <c r="F398" s="8">
        <f>0</f>
        <v>0</v>
      </c>
      <c r="G398" s="12" t="s">
        <v>10</v>
      </c>
      <c r="H398" s="13">
        <f>0</f>
        <v>0</v>
      </c>
    </row>
    <row r="399" spans="1:8" x14ac:dyDescent="0.25">
      <c r="A399" s="51"/>
      <c r="B399" s="47"/>
      <c r="C399" s="7" t="s">
        <v>93</v>
      </c>
      <c r="D399" s="7" t="s">
        <v>238</v>
      </c>
      <c r="E399" s="8">
        <f>E400+E401</f>
        <v>840</v>
      </c>
      <c r="F399" s="8">
        <f>F400+F401</f>
        <v>0</v>
      </c>
      <c r="G399" s="12" t="s">
        <v>47</v>
      </c>
      <c r="H399" s="13">
        <f>H400+H401</f>
        <v>0</v>
      </c>
    </row>
    <row r="400" spans="1:8" ht="24" x14ac:dyDescent="0.25">
      <c r="A400" s="51"/>
      <c r="B400" s="47"/>
      <c r="C400" s="9" t="s">
        <v>564</v>
      </c>
      <c r="D400" s="7" t="s">
        <v>239</v>
      </c>
      <c r="E400" s="8">
        <f>0</f>
        <v>0</v>
      </c>
      <c r="F400" s="8">
        <f>0</f>
        <v>0</v>
      </c>
      <c r="G400" s="12" t="s">
        <v>10</v>
      </c>
      <c r="H400" s="13">
        <f>0</f>
        <v>0</v>
      </c>
    </row>
    <row r="401" spans="1:8" x14ac:dyDescent="0.25">
      <c r="A401" s="51"/>
      <c r="B401" s="47"/>
      <c r="C401" s="9" t="s">
        <v>648</v>
      </c>
      <c r="D401" s="7" t="s">
        <v>240</v>
      </c>
      <c r="E401" s="8">
        <f>840</f>
        <v>840</v>
      </c>
      <c r="F401" s="8">
        <f>0</f>
        <v>0</v>
      </c>
      <c r="G401" s="12" t="s">
        <v>47</v>
      </c>
      <c r="H401" s="13">
        <f>0</f>
        <v>0</v>
      </c>
    </row>
    <row r="402" spans="1:8" ht="24" x14ac:dyDescent="0.25">
      <c r="A402" s="51"/>
      <c r="B402" s="47"/>
      <c r="C402" s="7" t="s">
        <v>184</v>
      </c>
      <c r="D402" s="7" t="s">
        <v>241</v>
      </c>
      <c r="E402" s="8">
        <f>0</f>
        <v>0</v>
      </c>
      <c r="F402" s="8">
        <f>0</f>
        <v>0</v>
      </c>
      <c r="G402" s="12" t="s">
        <v>10</v>
      </c>
      <c r="H402" s="13">
        <f>0</f>
        <v>0</v>
      </c>
    </row>
    <row r="403" spans="1:8" ht="16.899999999999999" customHeight="1" x14ac:dyDescent="0.25">
      <c r="A403" s="51"/>
      <c r="B403" s="47"/>
      <c r="C403" s="5" t="s">
        <v>13</v>
      </c>
      <c r="D403" s="5" t="s">
        <v>40</v>
      </c>
      <c r="E403" s="6">
        <f>E404</f>
        <v>387885.43999999994</v>
      </c>
      <c r="F403" s="6">
        <f>F404</f>
        <v>385375.8</v>
      </c>
      <c r="G403" s="10" t="s">
        <v>744</v>
      </c>
      <c r="H403" s="11">
        <f>H404</f>
        <v>385375.8</v>
      </c>
    </row>
    <row r="404" spans="1:8" ht="24" x14ac:dyDescent="0.25">
      <c r="A404" s="51"/>
      <c r="B404" s="47"/>
      <c r="C404" s="7" t="s">
        <v>21</v>
      </c>
      <c r="D404" s="7" t="s">
        <v>41</v>
      </c>
      <c r="E404" s="8">
        <f>E405+E406+E407+E408+E409</f>
        <v>387885.43999999994</v>
      </c>
      <c r="F404" s="8">
        <f>F405+F406+F407+F408+F409</f>
        <v>385375.8</v>
      </c>
      <c r="G404" s="12" t="s">
        <v>744</v>
      </c>
      <c r="H404" s="13">
        <f>H405+H406+H407+H408+H409</f>
        <v>385375.8</v>
      </c>
    </row>
    <row r="405" spans="1:8" x14ac:dyDescent="0.25">
      <c r="A405" s="51"/>
      <c r="B405" s="47"/>
      <c r="C405" s="9" t="s">
        <v>529</v>
      </c>
      <c r="D405" s="7" t="s">
        <v>242</v>
      </c>
      <c r="E405" s="8">
        <f>218150.77</f>
        <v>218150.77</v>
      </c>
      <c r="F405" s="8">
        <f>216569.83</f>
        <v>216569.83</v>
      </c>
      <c r="G405" s="12" t="s">
        <v>744</v>
      </c>
      <c r="H405" s="13">
        <f>216569.83</f>
        <v>216569.83</v>
      </c>
    </row>
    <row r="406" spans="1:8" x14ac:dyDescent="0.25">
      <c r="A406" s="51"/>
      <c r="B406" s="47"/>
      <c r="C406" s="9" t="s">
        <v>534</v>
      </c>
      <c r="D406" s="7" t="s">
        <v>243</v>
      </c>
      <c r="E406" s="8">
        <f>24398.74</f>
        <v>24398.74</v>
      </c>
      <c r="F406" s="8">
        <f>24398.58</f>
        <v>24398.58</v>
      </c>
      <c r="G406" s="12" t="s">
        <v>550</v>
      </c>
      <c r="H406" s="13">
        <f>24398.58</f>
        <v>24398.58</v>
      </c>
    </row>
    <row r="407" spans="1:8" ht="36" x14ac:dyDescent="0.25">
      <c r="A407" s="51"/>
      <c r="B407" s="47"/>
      <c r="C407" s="9" t="s">
        <v>552</v>
      </c>
      <c r="D407" s="7" t="s">
        <v>244</v>
      </c>
      <c r="E407" s="8">
        <f>72475.08</f>
        <v>72475.08</v>
      </c>
      <c r="F407" s="8">
        <f>72461.13</f>
        <v>72461.13</v>
      </c>
      <c r="G407" s="12" t="s">
        <v>550</v>
      </c>
      <c r="H407" s="13">
        <f>72461.13</f>
        <v>72461.13</v>
      </c>
    </row>
    <row r="408" spans="1:8" ht="36" x14ac:dyDescent="0.25">
      <c r="A408" s="51"/>
      <c r="B408" s="47"/>
      <c r="C408" s="9" t="s">
        <v>553</v>
      </c>
      <c r="D408" s="7" t="s">
        <v>245</v>
      </c>
      <c r="E408" s="8">
        <f>72287.36</f>
        <v>72287.360000000001</v>
      </c>
      <c r="F408" s="8">
        <f>71372.77</f>
        <v>71372.77</v>
      </c>
      <c r="G408" s="12" t="s">
        <v>756</v>
      </c>
      <c r="H408" s="13">
        <f>71372.77</f>
        <v>71372.77</v>
      </c>
    </row>
    <row r="409" spans="1:8" ht="24" x14ac:dyDescent="0.25">
      <c r="A409" s="51"/>
      <c r="B409" s="47"/>
      <c r="C409" s="9" t="s">
        <v>606</v>
      </c>
      <c r="D409" s="7" t="s">
        <v>246</v>
      </c>
      <c r="E409" s="8">
        <f>573.49</f>
        <v>573.49</v>
      </c>
      <c r="F409" s="8">
        <f>573.49</f>
        <v>573.49</v>
      </c>
      <c r="G409" s="12" t="s">
        <v>550</v>
      </c>
      <c r="H409" s="13">
        <f>573.49</f>
        <v>573.49</v>
      </c>
    </row>
    <row r="410" spans="1:8" ht="17.45" customHeight="1" thickBot="1" x14ac:dyDescent="0.3">
      <c r="A410" s="38" t="s">
        <v>18</v>
      </c>
      <c r="B410" s="39"/>
      <c r="C410" s="39"/>
      <c r="D410" s="40"/>
      <c r="E410" s="32">
        <f>E384+E393+E396+E403</f>
        <v>443718.63999999996</v>
      </c>
      <c r="F410" s="29">
        <f>F384+F393+F396+F403</f>
        <v>440345.57999999996</v>
      </c>
      <c r="G410" s="30" t="s">
        <v>824</v>
      </c>
      <c r="H410" s="31">
        <f>H384+H393+H396+H403</f>
        <v>440345.57999999996</v>
      </c>
    </row>
    <row r="411" spans="1:8" ht="36" x14ac:dyDescent="0.25">
      <c r="A411" s="49">
        <v>13</v>
      </c>
      <c r="B411" s="43" t="s">
        <v>247</v>
      </c>
      <c r="C411" s="5" t="s">
        <v>8</v>
      </c>
      <c r="D411" s="5" t="s">
        <v>248</v>
      </c>
      <c r="E411" s="15">
        <f>E412+E420+E423</f>
        <v>56300.710000000006</v>
      </c>
      <c r="F411" s="15">
        <f>F412+F420+F423</f>
        <v>56128.759999999995</v>
      </c>
      <c r="G411" s="16" t="s">
        <v>569</v>
      </c>
      <c r="H411" s="17">
        <f>H412+H420+H423</f>
        <v>56128.759999999995</v>
      </c>
    </row>
    <row r="412" spans="1:8" ht="24" x14ac:dyDescent="0.25">
      <c r="A412" s="50"/>
      <c r="B412" s="44"/>
      <c r="C412" s="7" t="s">
        <v>21</v>
      </c>
      <c r="D412" s="7" t="s">
        <v>249</v>
      </c>
      <c r="E412" s="8">
        <f>E413+E414+E415+E416+E417+E418+E419</f>
        <v>49840.530000000006</v>
      </c>
      <c r="F412" s="8">
        <f>F413+F414+F415+F416+F417+F418+F419</f>
        <v>49737.569999999992</v>
      </c>
      <c r="G412" s="12" t="s">
        <v>736</v>
      </c>
      <c r="H412" s="13">
        <f>H413+H414+H415+H416+H417+H418+H419</f>
        <v>49737.569999999992</v>
      </c>
    </row>
    <row r="413" spans="1:8" ht="36" x14ac:dyDescent="0.25">
      <c r="A413" s="50"/>
      <c r="B413" s="44"/>
      <c r="C413" s="9" t="s">
        <v>525</v>
      </c>
      <c r="D413" s="7" t="s">
        <v>840</v>
      </c>
      <c r="E413" s="8">
        <f>7143.98</f>
        <v>7143.98</v>
      </c>
      <c r="F413" s="8">
        <f>7143.98</f>
        <v>7143.98</v>
      </c>
      <c r="G413" s="12" t="s">
        <v>550</v>
      </c>
      <c r="H413" s="13">
        <f>7143.98</f>
        <v>7143.98</v>
      </c>
    </row>
    <row r="414" spans="1:8" ht="27.6" customHeight="1" x14ac:dyDescent="0.25">
      <c r="A414" s="50"/>
      <c r="B414" s="44"/>
      <c r="C414" s="9" t="s">
        <v>529</v>
      </c>
      <c r="D414" s="7" t="s">
        <v>841</v>
      </c>
      <c r="E414" s="8">
        <f>0</f>
        <v>0</v>
      </c>
      <c r="F414" s="8">
        <f>0</f>
        <v>0</v>
      </c>
      <c r="G414" s="12" t="s">
        <v>10</v>
      </c>
      <c r="H414" s="13">
        <f>0</f>
        <v>0</v>
      </c>
    </row>
    <row r="415" spans="1:8" ht="48" x14ac:dyDescent="0.25">
      <c r="A415" s="50"/>
      <c r="B415" s="44"/>
      <c r="C415" s="9" t="s">
        <v>539</v>
      </c>
      <c r="D415" s="7" t="s">
        <v>842</v>
      </c>
      <c r="E415" s="8">
        <f>38216.65</f>
        <v>38216.65</v>
      </c>
      <c r="F415" s="8">
        <f>38114.22</f>
        <v>38114.22</v>
      </c>
      <c r="G415" s="12" t="s">
        <v>569</v>
      </c>
      <c r="H415" s="13">
        <f>38114.22</f>
        <v>38114.22</v>
      </c>
    </row>
    <row r="416" spans="1:8" ht="60" x14ac:dyDescent="0.25">
      <c r="A416" s="50"/>
      <c r="B416" s="44"/>
      <c r="C416" s="9" t="s">
        <v>533</v>
      </c>
      <c r="D416" s="7" t="s">
        <v>843</v>
      </c>
      <c r="E416" s="8">
        <f>1391.54</f>
        <v>1391.54</v>
      </c>
      <c r="F416" s="8">
        <f>1391.53</f>
        <v>1391.53</v>
      </c>
      <c r="G416" s="12" t="s">
        <v>550</v>
      </c>
      <c r="H416" s="13">
        <f>1391.53</f>
        <v>1391.53</v>
      </c>
    </row>
    <row r="417" spans="1:8" ht="72" x14ac:dyDescent="0.25">
      <c r="A417" s="50"/>
      <c r="B417" s="44"/>
      <c r="C417" s="9" t="s">
        <v>534</v>
      </c>
      <c r="D417" s="7" t="s">
        <v>844</v>
      </c>
      <c r="E417" s="8">
        <f>2423.22</f>
        <v>2423.2199999999998</v>
      </c>
      <c r="F417" s="8">
        <f>2423.21</f>
        <v>2423.21</v>
      </c>
      <c r="G417" s="12" t="s">
        <v>550</v>
      </c>
      <c r="H417" s="13">
        <f>2423.21</f>
        <v>2423.21</v>
      </c>
    </row>
    <row r="418" spans="1:8" ht="36" x14ac:dyDescent="0.25">
      <c r="A418" s="50"/>
      <c r="B418" s="44"/>
      <c r="C418" s="9" t="s">
        <v>552</v>
      </c>
      <c r="D418" s="7" t="s">
        <v>845</v>
      </c>
      <c r="E418" s="8">
        <f>665.14</f>
        <v>665.14</v>
      </c>
      <c r="F418" s="8">
        <f>664.63</f>
        <v>664.63</v>
      </c>
      <c r="G418" s="12" t="s">
        <v>738</v>
      </c>
      <c r="H418" s="13">
        <f>664.63</f>
        <v>664.63</v>
      </c>
    </row>
    <row r="419" spans="1:8" ht="24" x14ac:dyDescent="0.25">
      <c r="A419" s="50"/>
      <c r="B419" s="44"/>
      <c r="C419" s="9" t="s">
        <v>553</v>
      </c>
      <c r="D419" s="7" t="s">
        <v>846</v>
      </c>
      <c r="E419" s="8">
        <f>0</f>
        <v>0</v>
      </c>
      <c r="F419" s="8">
        <f>0</f>
        <v>0</v>
      </c>
      <c r="G419" s="12" t="s">
        <v>10</v>
      </c>
      <c r="H419" s="13">
        <f>0</f>
        <v>0</v>
      </c>
    </row>
    <row r="420" spans="1:8" ht="60" x14ac:dyDescent="0.25">
      <c r="A420" s="50"/>
      <c r="B420" s="44"/>
      <c r="C420" s="7" t="s">
        <v>36</v>
      </c>
      <c r="D420" s="7" t="s">
        <v>250</v>
      </c>
      <c r="E420" s="8">
        <f>E421+E422</f>
        <v>0</v>
      </c>
      <c r="F420" s="8">
        <f>F421+F422</f>
        <v>0</v>
      </c>
      <c r="G420" s="12" t="s">
        <v>10</v>
      </c>
      <c r="H420" s="13">
        <f>H421+H422</f>
        <v>0</v>
      </c>
    </row>
    <row r="421" spans="1:8" ht="36" x14ac:dyDescent="0.25">
      <c r="A421" s="50"/>
      <c r="B421" s="44"/>
      <c r="C421" s="9" t="s">
        <v>540</v>
      </c>
      <c r="D421" s="7" t="s">
        <v>847</v>
      </c>
      <c r="E421" s="8">
        <f>0</f>
        <v>0</v>
      </c>
      <c r="F421" s="8">
        <f>0</f>
        <v>0</v>
      </c>
      <c r="G421" s="12" t="s">
        <v>10</v>
      </c>
      <c r="H421" s="13">
        <f>0</f>
        <v>0</v>
      </c>
    </row>
    <row r="422" spans="1:8" ht="36" x14ac:dyDescent="0.25">
      <c r="A422" s="50"/>
      <c r="B422" s="44"/>
      <c r="C422" s="9" t="s">
        <v>541</v>
      </c>
      <c r="D422" s="7" t="s">
        <v>848</v>
      </c>
      <c r="E422" s="8">
        <f>0</f>
        <v>0</v>
      </c>
      <c r="F422" s="8">
        <f>0</f>
        <v>0</v>
      </c>
      <c r="G422" s="12" t="s">
        <v>10</v>
      </c>
      <c r="H422" s="13">
        <f>0</f>
        <v>0</v>
      </c>
    </row>
    <row r="423" spans="1:8" ht="16.149999999999999" customHeight="1" x14ac:dyDescent="0.25">
      <c r="A423" s="50"/>
      <c r="B423" s="44"/>
      <c r="C423" s="7" t="s">
        <v>184</v>
      </c>
      <c r="D423" s="7" t="s">
        <v>251</v>
      </c>
      <c r="E423" s="8">
        <f>E424+E425+E426+E427</f>
        <v>6460.1799999999994</v>
      </c>
      <c r="F423" s="8">
        <f>F424+F425+F426+F427</f>
        <v>6391.19</v>
      </c>
      <c r="G423" s="12" t="s">
        <v>739</v>
      </c>
      <c r="H423" s="13">
        <f>H424+H425+H426+H427</f>
        <v>6391.19</v>
      </c>
    </row>
    <row r="424" spans="1:8" ht="48" x14ac:dyDescent="0.25">
      <c r="A424" s="50"/>
      <c r="B424" s="44"/>
      <c r="C424" s="9" t="s">
        <v>623</v>
      </c>
      <c r="D424" s="7" t="s">
        <v>849</v>
      </c>
      <c r="E424" s="8">
        <f>497.66</f>
        <v>497.66</v>
      </c>
      <c r="F424" s="8">
        <f>497.17</f>
        <v>497.17</v>
      </c>
      <c r="G424" s="12" t="s">
        <v>738</v>
      </c>
      <c r="H424" s="13">
        <f>497.17</f>
        <v>497.17</v>
      </c>
    </row>
    <row r="425" spans="1:8" ht="84" x14ac:dyDescent="0.25">
      <c r="A425" s="50"/>
      <c r="B425" s="44"/>
      <c r="C425" s="9" t="s">
        <v>649</v>
      </c>
      <c r="D425" s="7" t="s">
        <v>850</v>
      </c>
      <c r="E425" s="8">
        <f>5208.11</f>
        <v>5208.1099999999997</v>
      </c>
      <c r="F425" s="8">
        <f>5139.62</f>
        <v>5139.62</v>
      </c>
      <c r="G425" s="12" t="s">
        <v>756</v>
      </c>
      <c r="H425" s="13">
        <f>5139.62</f>
        <v>5139.62</v>
      </c>
    </row>
    <row r="426" spans="1:8" ht="48" x14ac:dyDescent="0.25">
      <c r="A426" s="50"/>
      <c r="B426" s="44"/>
      <c r="C426" s="9" t="s">
        <v>645</v>
      </c>
      <c r="D426" s="7" t="s">
        <v>851</v>
      </c>
      <c r="E426" s="8">
        <f>754.41</f>
        <v>754.41</v>
      </c>
      <c r="F426" s="8">
        <f>754.4</f>
        <v>754.4</v>
      </c>
      <c r="G426" s="12" t="s">
        <v>550</v>
      </c>
      <c r="H426" s="13">
        <f>754.4</f>
        <v>754.4</v>
      </c>
    </row>
    <row r="427" spans="1:8" ht="36" x14ac:dyDescent="0.25">
      <c r="A427" s="50"/>
      <c r="B427" s="44"/>
      <c r="C427" s="9" t="s">
        <v>646</v>
      </c>
      <c r="D427" s="7" t="s">
        <v>852</v>
      </c>
      <c r="E427" s="8">
        <f>0</f>
        <v>0</v>
      </c>
      <c r="F427" s="8">
        <f>0</f>
        <v>0</v>
      </c>
      <c r="G427" s="12" t="s">
        <v>10</v>
      </c>
      <c r="H427" s="13">
        <f>0</f>
        <v>0</v>
      </c>
    </row>
    <row r="428" spans="1:8" ht="16.899999999999999" customHeight="1" x14ac:dyDescent="0.25">
      <c r="A428" s="50"/>
      <c r="B428" s="44"/>
      <c r="C428" s="5" t="s">
        <v>25</v>
      </c>
      <c r="D428" s="5" t="s">
        <v>252</v>
      </c>
      <c r="E428" s="6">
        <f>E429</f>
        <v>13838</v>
      </c>
      <c r="F428" s="6">
        <f>F429</f>
        <v>12980.75</v>
      </c>
      <c r="G428" s="10" t="s">
        <v>853</v>
      </c>
      <c r="H428" s="11">
        <f>H429</f>
        <v>12980.75</v>
      </c>
    </row>
    <row r="429" spans="1:8" ht="24" x14ac:dyDescent="0.25">
      <c r="A429" s="50"/>
      <c r="B429" s="44"/>
      <c r="C429" s="7" t="s">
        <v>184</v>
      </c>
      <c r="D429" s="7" t="s">
        <v>253</v>
      </c>
      <c r="E429" s="8">
        <f>E430</f>
        <v>13838</v>
      </c>
      <c r="F429" s="8">
        <f>F430</f>
        <v>12980.75</v>
      </c>
      <c r="G429" s="12" t="s">
        <v>853</v>
      </c>
      <c r="H429" s="13">
        <f>H430</f>
        <v>12980.75</v>
      </c>
    </row>
    <row r="430" spans="1:8" ht="24" x14ac:dyDescent="0.25">
      <c r="A430" s="50"/>
      <c r="B430" s="44"/>
      <c r="C430" s="9" t="s">
        <v>623</v>
      </c>
      <c r="D430" s="7" t="s">
        <v>854</v>
      </c>
      <c r="E430" s="8">
        <f>6850+6850+138</f>
        <v>13838</v>
      </c>
      <c r="F430" s="8">
        <f>6165+6815.75</f>
        <v>12980.75</v>
      </c>
      <c r="G430" s="12" t="s">
        <v>853</v>
      </c>
      <c r="H430" s="13">
        <f>6165+6815.75</f>
        <v>12980.75</v>
      </c>
    </row>
    <row r="431" spans="1:8" ht="18" customHeight="1" x14ac:dyDescent="0.25">
      <c r="A431" s="50"/>
      <c r="B431" s="44"/>
      <c r="C431" s="5" t="s">
        <v>29</v>
      </c>
      <c r="D431" s="5" t="s">
        <v>254</v>
      </c>
      <c r="E431" s="6">
        <f>E432+E438</f>
        <v>16864.060000000001</v>
      </c>
      <c r="F431" s="6">
        <f>F432+F438</f>
        <v>16864.060000000001</v>
      </c>
      <c r="G431" s="10" t="s">
        <v>550</v>
      </c>
      <c r="H431" s="11">
        <f>H432+H438</f>
        <v>15924.060000000001</v>
      </c>
    </row>
    <row r="432" spans="1:8" ht="48" x14ac:dyDescent="0.25">
      <c r="A432" s="50"/>
      <c r="B432" s="44"/>
      <c r="C432" s="7" t="s">
        <v>21</v>
      </c>
      <c r="D432" s="7" t="s">
        <v>255</v>
      </c>
      <c r="E432" s="8">
        <f>E433+E434+E435+E436+E437</f>
        <v>16864.060000000001</v>
      </c>
      <c r="F432" s="8">
        <f>F433+F434+F435+F436+F437</f>
        <v>16864.060000000001</v>
      </c>
      <c r="G432" s="12" t="s">
        <v>550</v>
      </c>
      <c r="H432" s="13">
        <f>H433+H434+H435+H436+H437</f>
        <v>15924.060000000001</v>
      </c>
    </row>
    <row r="433" spans="1:8" ht="24" x14ac:dyDescent="0.25">
      <c r="A433" s="50"/>
      <c r="B433" s="44"/>
      <c r="C433" s="9" t="s">
        <v>525</v>
      </c>
      <c r="D433" s="7" t="s">
        <v>503</v>
      </c>
      <c r="E433" s="8">
        <f>1172.88</f>
        <v>1172.8800000000001</v>
      </c>
      <c r="F433" s="8">
        <f>1172.88</f>
        <v>1172.8800000000001</v>
      </c>
      <c r="G433" s="12" t="s">
        <v>550</v>
      </c>
      <c r="H433" s="13">
        <f>1172.88</f>
        <v>1172.8800000000001</v>
      </c>
    </row>
    <row r="434" spans="1:8" ht="24" x14ac:dyDescent="0.25">
      <c r="A434" s="50"/>
      <c r="B434" s="44"/>
      <c r="C434" s="9" t="s">
        <v>529</v>
      </c>
      <c r="D434" s="7" t="s">
        <v>504</v>
      </c>
      <c r="E434" s="8">
        <f>0</f>
        <v>0</v>
      </c>
      <c r="F434" s="8">
        <f>0</f>
        <v>0</v>
      </c>
      <c r="G434" s="12" t="s">
        <v>10</v>
      </c>
      <c r="H434" s="13">
        <f>0</f>
        <v>0</v>
      </c>
    </row>
    <row r="435" spans="1:8" ht="24" x14ac:dyDescent="0.25">
      <c r="A435" s="50"/>
      <c r="B435" s="44"/>
      <c r="C435" s="9" t="s">
        <v>539</v>
      </c>
      <c r="D435" s="7" t="s">
        <v>505</v>
      </c>
      <c r="E435" s="8">
        <f>0</f>
        <v>0</v>
      </c>
      <c r="F435" s="8">
        <f>0</f>
        <v>0</v>
      </c>
      <c r="G435" s="12" t="s">
        <v>10</v>
      </c>
      <c r="H435" s="13">
        <f>0</f>
        <v>0</v>
      </c>
    </row>
    <row r="436" spans="1:8" ht="36" x14ac:dyDescent="0.25">
      <c r="A436" s="50"/>
      <c r="B436" s="44"/>
      <c r="C436" s="9" t="s">
        <v>533</v>
      </c>
      <c r="D436" s="7" t="s">
        <v>506</v>
      </c>
      <c r="E436" s="8">
        <f>0</f>
        <v>0</v>
      </c>
      <c r="F436" s="8">
        <f>0</f>
        <v>0</v>
      </c>
      <c r="G436" s="12" t="s">
        <v>10</v>
      </c>
      <c r="H436" s="13">
        <f>0</f>
        <v>0</v>
      </c>
    </row>
    <row r="437" spans="1:8" ht="24" x14ac:dyDescent="0.25">
      <c r="A437" s="50"/>
      <c r="B437" s="44"/>
      <c r="C437" s="9" t="s">
        <v>534</v>
      </c>
      <c r="D437" s="7" t="s">
        <v>855</v>
      </c>
      <c r="E437" s="8">
        <f>14751.18+940</f>
        <v>15691.18</v>
      </c>
      <c r="F437" s="8">
        <f>14751.18+940</f>
        <v>15691.18</v>
      </c>
      <c r="G437" s="12" t="s">
        <v>550</v>
      </c>
      <c r="H437" s="13">
        <f>14751.18</f>
        <v>14751.18</v>
      </c>
    </row>
    <row r="438" spans="1:8" ht="24" x14ac:dyDescent="0.25">
      <c r="A438" s="50"/>
      <c r="B438" s="44"/>
      <c r="C438" s="7" t="s">
        <v>461</v>
      </c>
      <c r="D438" s="7" t="s">
        <v>256</v>
      </c>
      <c r="E438" s="8">
        <f>E439</f>
        <v>0</v>
      </c>
      <c r="F438" s="8">
        <f>F439</f>
        <v>0</v>
      </c>
      <c r="G438" s="12" t="s">
        <v>10</v>
      </c>
      <c r="H438" s="13">
        <f>H439</f>
        <v>0</v>
      </c>
    </row>
    <row r="439" spans="1:8" ht="24" x14ac:dyDescent="0.25">
      <c r="A439" s="50"/>
      <c r="B439" s="44"/>
      <c r="C439" s="9" t="s">
        <v>732</v>
      </c>
      <c r="D439" s="7" t="s">
        <v>507</v>
      </c>
      <c r="E439" s="8">
        <f>0</f>
        <v>0</v>
      </c>
      <c r="F439" s="8">
        <f>0</f>
        <v>0</v>
      </c>
      <c r="G439" s="12" t="s">
        <v>10</v>
      </c>
      <c r="H439" s="13">
        <f>0</f>
        <v>0</v>
      </c>
    </row>
    <row r="440" spans="1:8" ht="16.899999999999999" customHeight="1" x14ac:dyDescent="0.25">
      <c r="A440" s="50"/>
      <c r="B440" s="44"/>
      <c r="C440" s="5" t="s">
        <v>13</v>
      </c>
      <c r="D440" s="5" t="s">
        <v>40</v>
      </c>
      <c r="E440" s="6">
        <f>E441+E443+E445</f>
        <v>9608</v>
      </c>
      <c r="F440" s="6">
        <f>F441+F443+F445</f>
        <v>8409.99</v>
      </c>
      <c r="G440" s="10" t="s">
        <v>856</v>
      </c>
      <c r="H440" s="11">
        <f>H441+H443+H445</f>
        <v>8409.99</v>
      </c>
    </row>
    <row r="441" spans="1:8" ht="24" x14ac:dyDescent="0.25">
      <c r="A441" s="50"/>
      <c r="B441" s="44"/>
      <c r="C441" s="7" t="s">
        <v>11</v>
      </c>
      <c r="D441" s="7" t="s">
        <v>257</v>
      </c>
      <c r="E441" s="8">
        <f>E442</f>
        <v>7547</v>
      </c>
      <c r="F441" s="8">
        <f>F442</f>
        <v>7547</v>
      </c>
      <c r="G441" s="12" t="s">
        <v>550</v>
      </c>
      <c r="H441" s="13">
        <f>H442</f>
        <v>7547</v>
      </c>
    </row>
    <row r="442" spans="1:8" ht="24" x14ac:dyDescent="0.25">
      <c r="A442" s="50"/>
      <c r="B442" s="44"/>
      <c r="C442" s="9" t="s">
        <v>523</v>
      </c>
      <c r="D442" s="7" t="s">
        <v>257</v>
      </c>
      <c r="E442" s="8">
        <f>7547</f>
        <v>7547</v>
      </c>
      <c r="F442" s="8">
        <f>7547</f>
        <v>7547</v>
      </c>
      <c r="G442" s="12" t="s">
        <v>550</v>
      </c>
      <c r="H442" s="13">
        <f>7547</f>
        <v>7547</v>
      </c>
    </row>
    <row r="443" spans="1:8" ht="24" x14ac:dyDescent="0.25">
      <c r="A443" s="50"/>
      <c r="B443" s="44"/>
      <c r="C443" s="7" t="s">
        <v>92</v>
      </c>
      <c r="D443" s="7" t="s">
        <v>258</v>
      </c>
      <c r="E443" s="8">
        <f>E444</f>
        <v>3</v>
      </c>
      <c r="F443" s="8">
        <f>F444</f>
        <v>2.94</v>
      </c>
      <c r="G443" s="12" t="s">
        <v>743</v>
      </c>
      <c r="H443" s="13">
        <f>H444</f>
        <v>2.94</v>
      </c>
    </row>
    <row r="444" spans="1:8" ht="24" x14ac:dyDescent="0.25">
      <c r="A444" s="50"/>
      <c r="B444" s="44"/>
      <c r="C444" s="9" t="s">
        <v>622</v>
      </c>
      <c r="D444" s="7" t="s">
        <v>508</v>
      </c>
      <c r="E444" s="8">
        <f>3</f>
        <v>3</v>
      </c>
      <c r="F444" s="8">
        <f>2.94</f>
        <v>2.94</v>
      </c>
      <c r="G444" s="12" t="s">
        <v>743</v>
      </c>
      <c r="H444" s="13">
        <f>2.94</f>
        <v>2.94</v>
      </c>
    </row>
    <row r="445" spans="1:8" ht="17.45" customHeight="1" x14ac:dyDescent="0.25">
      <c r="A445" s="50"/>
      <c r="B445" s="44"/>
      <c r="C445" s="7" t="s">
        <v>93</v>
      </c>
      <c r="D445" s="7" t="s">
        <v>259</v>
      </c>
      <c r="E445" s="8">
        <f>E446</f>
        <v>2058</v>
      </c>
      <c r="F445" s="8">
        <f>F446</f>
        <v>860.05</v>
      </c>
      <c r="G445" s="12" t="s">
        <v>857</v>
      </c>
      <c r="H445" s="13">
        <f>H446</f>
        <v>860.05</v>
      </c>
    </row>
    <row r="446" spans="1:8" ht="15.6" customHeight="1" x14ac:dyDescent="0.25">
      <c r="A446" s="50"/>
      <c r="B446" s="44"/>
      <c r="C446" s="9" t="s">
        <v>564</v>
      </c>
      <c r="D446" s="7" t="s">
        <v>509</v>
      </c>
      <c r="E446" s="8">
        <f>2058</f>
        <v>2058</v>
      </c>
      <c r="F446" s="8">
        <f>860.05</f>
        <v>860.05</v>
      </c>
      <c r="G446" s="12" t="s">
        <v>857</v>
      </c>
      <c r="H446" s="13">
        <f>860.05</f>
        <v>860.05</v>
      </c>
    </row>
    <row r="447" spans="1:8" ht="18" customHeight="1" thickBot="1" x14ac:dyDescent="0.3">
      <c r="A447" s="54" t="s">
        <v>18</v>
      </c>
      <c r="B447" s="55"/>
      <c r="C447" s="55"/>
      <c r="D447" s="55"/>
      <c r="E447" s="32">
        <f>E411+E428+E431+E440</f>
        <v>96610.77</v>
      </c>
      <c r="F447" s="29">
        <f>F411+F428+F431+F440</f>
        <v>94383.56</v>
      </c>
      <c r="G447" s="30" t="s">
        <v>757</v>
      </c>
      <c r="H447" s="31">
        <f>H411+H428+H431+H440</f>
        <v>93443.56</v>
      </c>
    </row>
    <row r="448" spans="1:8" ht="24" x14ac:dyDescent="0.25">
      <c r="A448" s="52">
        <v>14</v>
      </c>
      <c r="B448" s="53" t="s">
        <v>260</v>
      </c>
      <c r="C448" s="5" t="s">
        <v>8</v>
      </c>
      <c r="D448" s="5" t="s">
        <v>261</v>
      </c>
      <c r="E448" s="15">
        <f>E449</f>
        <v>0</v>
      </c>
      <c r="F448" s="15">
        <f>F449</f>
        <v>0</v>
      </c>
      <c r="G448" s="16" t="s">
        <v>10</v>
      </c>
      <c r="H448" s="17">
        <f>H449</f>
        <v>0</v>
      </c>
    </row>
    <row r="449" spans="1:8" ht="48" x14ac:dyDescent="0.25">
      <c r="A449" s="42"/>
      <c r="B449" s="44"/>
      <c r="C449" s="7" t="s">
        <v>36</v>
      </c>
      <c r="D449" s="18" t="s">
        <v>262</v>
      </c>
      <c r="E449" s="8">
        <f>E450+E451+E452+E453</f>
        <v>0</v>
      </c>
      <c r="F449" s="8">
        <f>F450+F451+F452+F453</f>
        <v>0</v>
      </c>
      <c r="G449" s="12" t="s">
        <v>488</v>
      </c>
      <c r="H449" s="13">
        <f>H450+H451+H452+H453</f>
        <v>0</v>
      </c>
    </row>
    <row r="450" spans="1:8" ht="60" x14ac:dyDescent="0.25">
      <c r="A450" s="42"/>
      <c r="B450" s="44"/>
      <c r="C450" s="9" t="s">
        <v>540</v>
      </c>
      <c r="D450" s="18" t="s">
        <v>263</v>
      </c>
      <c r="E450" s="8">
        <f>0</f>
        <v>0</v>
      </c>
      <c r="F450" s="8">
        <f>0</f>
        <v>0</v>
      </c>
      <c r="G450" s="12" t="s">
        <v>488</v>
      </c>
      <c r="H450" s="13">
        <f>0</f>
        <v>0</v>
      </c>
    </row>
    <row r="451" spans="1:8" ht="60" x14ac:dyDescent="0.25">
      <c r="A451" s="42"/>
      <c r="B451" s="44"/>
      <c r="C451" s="9" t="s">
        <v>541</v>
      </c>
      <c r="D451" s="18" t="s">
        <v>264</v>
      </c>
      <c r="E451" s="8">
        <f>0</f>
        <v>0</v>
      </c>
      <c r="F451" s="8">
        <f>0</f>
        <v>0</v>
      </c>
      <c r="G451" s="12" t="s">
        <v>488</v>
      </c>
      <c r="H451" s="13">
        <f>0</f>
        <v>0</v>
      </c>
    </row>
    <row r="452" spans="1:8" ht="36" x14ac:dyDescent="0.25">
      <c r="A452" s="42"/>
      <c r="B452" s="44"/>
      <c r="C452" s="9" t="s">
        <v>542</v>
      </c>
      <c r="D452" s="18" t="s">
        <v>265</v>
      </c>
      <c r="E452" s="8">
        <f>0</f>
        <v>0</v>
      </c>
      <c r="F452" s="8">
        <f>0</f>
        <v>0</v>
      </c>
      <c r="G452" s="12" t="s">
        <v>488</v>
      </c>
      <c r="H452" s="13">
        <f>0</f>
        <v>0</v>
      </c>
    </row>
    <row r="453" spans="1:8" ht="36" x14ac:dyDescent="0.25">
      <c r="A453" s="42"/>
      <c r="B453" s="44"/>
      <c r="C453" s="9" t="s">
        <v>543</v>
      </c>
      <c r="D453" s="18" t="s">
        <v>266</v>
      </c>
      <c r="E453" s="8">
        <f>0</f>
        <v>0</v>
      </c>
      <c r="F453" s="8">
        <f>0</f>
        <v>0</v>
      </c>
      <c r="G453" s="12" t="s">
        <v>488</v>
      </c>
      <c r="H453" s="13">
        <f>0</f>
        <v>0</v>
      </c>
    </row>
    <row r="454" spans="1:8" ht="18" customHeight="1" x14ac:dyDescent="0.25">
      <c r="A454" s="42"/>
      <c r="B454" s="44"/>
      <c r="C454" s="5" t="s">
        <v>20</v>
      </c>
      <c r="D454" s="5" t="s">
        <v>267</v>
      </c>
      <c r="E454" s="6">
        <f>E455+E457</f>
        <v>187490.56999999998</v>
      </c>
      <c r="F454" s="6">
        <f>F455+F457</f>
        <v>183362.80999999997</v>
      </c>
      <c r="G454" s="10" t="s">
        <v>621</v>
      </c>
      <c r="H454" s="11">
        <f>H455+H457</f>
        <v>183362.80999999997</v>
      </c>
    </row>
    <row r="455" spans="1:8" ht="19.149999999999999" customHeight="1" x14ac:dyDescent="0.25">
      <c r="A455" s="42"/>
      <c r="B455" s="44"/>
      <c r="C455" s="7" t="s">
        <v>36</v>
      </c>
      <c r="D455" s="7" t="s">
        <v>268</v>
      </c>
      <c r="E455" s="8">
        <f>E456</f>
        <v>22673.49</v>
      </c>
      <c r="F455" s="8">
        <f>F456</f>
        <v>22673.49</v>
      </c>
      <c r="G455" s="12" t="s">
        <v>550</v>
      </c>
      <c r="H455" s="13">
        <f>H456</f>
        <v>22673.49</v>
      </c>
    </row>
    <row r="456" spans="1:8" ht="36" x14ac:dyDescent="0.25">
      <c r="A456" s="42"/>
      <c r="B456" s="44"/>
      <c r="C456" s="9" t="s">
        <v>541</v>
      </c>
      <c r="D456" s="18" t="s">
        <v>269</v>
      </c>
      <c r="E456" s="8">
        <f>22673.49</f>
        <v>22673.49</v>
      </c>
      <c r="F456" s="8">
        <f>22673.49</f>
        <v>22673.49</v>
      </c>
      <c r="G456" s="12" t="s">
        <v>550</v>
      </c>
      <c r="H456" s="13">
        <f>22673.49</f>
        <v>22673.49</v>
      </c>
    </row>
    <row r="457" spans="1:8" ht="24" x14ac:dyDescent="0.25">
      <c r="A457" s="42"/>
      <c r="B457" s="44"/>
      <c r="C457" s="7" t="s">
        <v>30</v>
      </c>
      <c r="D457" s="18" t="s">
        <v>270</v>
      </c>
      <c r="E457" s="8">
        <f>E458+E459+E460+E471+E475</f>
        <v>164817.07999999999</v>
      </c>
      <c r="F457" s="8">
        <f>F458+F459+F460+F471+F475</f>
        <v>160689.31999999998</v>
      </c>
      <c r="G457" s="12" t="s">
        <v>858</v>
      </c>
      <c r="H457" s="13">
        <f>H458+H459+H460+H471+H475</f>
        <v>160689.31999999998</v>
      </c>
    </row>
    <row r="458" spans="1:8" ht="24" x14ac:dyDescent="0.25">
      <c r="A458" s="42"/>
      <c r="B458" s="44"/>
      <c r="C458" s="9" t="s">
        <v>535</v>
      </c>
      <c r="D458" s="18" t="s">
        <v>278</v>
      </c>
      <c r="E458" s="8">
        <f>4785+90913</f>
        <v>95698</v>
      </c>
      <c r="F458" s="8">
        <f>4579.17+86991.17</f>
        <v>91570.34</v>
      </c>
      <c r="G458" s="12" t="s">
        <v>859</v>
      </c>
      <c r="H458" s="13">
        <f>4579.17+86991.17</f>
        <v>91570.34</v>
      </c>
    </row>
    <row r="459" spans="1:8" ht="36" x14ac:dyDescent="0.25">
      <c r="A459" s="42"/>
      <c r="B459" s="44"/>
      <c r="C459" s="9" t="s">
        <v>536</v>
      </c>
      <c r="D459" s="18" t="s">
        <v>489</v>
      </c>
      <c r="E459" s="8">
        <f>1315.69</f>
        <v>1315.69</v>
      </c>
      <c r="F459" s="8">
        <f>1315.68</f>
        <v>1315.68</v>
      </c>
      <c r="G459" s="12" t="s">
        <v>550</v>
      </c>
      <c r="H459" s="13">
        <f>1315.68</f>
        <v>1315.68</v>
      </c>
    </row>
    <row r="460" spans="1:8" ht="24" x14ac:dyDescent="0.25">
      <c r="A460" s="42"/>
      <c r="B460" s="44"/>
      <c r="C460" s="9" t="s">
        <v>650</v>
      </c>
      <c r="D460" s="18" t="s">
        <v>271</v>
      </c>
      <c r="E460" s="8">
        <f>E461+E462+E463+E464+E465+E466+E467+E468+E469+E470</f>
        <v>65778.92</v>
      </c>
      <c r="F460" s="8">
        <f>F461+F462+F463+F464+F465+F466+F467+F468+F469+F470</f>
        <v>65778.83</v>
      </c>
      <c r="G460" s="12" t="s">
        <v>550</v>
      </c>
      <c r="H460" s="13">
        <f>H461+H462+H463+H464+H465+H466+H467+H468+H469+H470</f>
        <v>65778.83</v>
      </c>
    </row>
    <row r="461" spans="1:8" ht="24" x14ac:dyDescent="0.25">
      <c r="A461" s="42"/>
      <c r="B461" s="44"/>
      <c r="C461" s="9" t="s">
        <v>651</v>
      </c>
      <c r="D461" s="18" t="s">
        <v>272</v>
      </c>
      <c r="E461" s="8">
        <f>28013.55</f>
        <v>28013.55</v>
      </c>
      <c r="F461" s="8">
        <f>28013.55</f>
        <v>28013.55</v>
      </c>
      <c r="G461" s="12" t="s">
        <v>550</v>
      </c>
      <c r="H461" s="13">
        <f>28013.55</f>
        <v>28013.55</v>
      </c>
    </row>
    <row r="462" spans="1:8" x14ac:dyDescent="0.25">
      <c r="A462" s="42"/>
      <c r="B462" s="44"/>
      <c r="C462" s="9" t="s">
        <v>652</v>
      </c>
      <c r="D462" s="18" t="s">
        <v>273</v>
      </c>
      <c r="E462" s="8">
        <f>11519.59</f>
        <v>11519.59</v>
      </c>
      <c r="F462" s="8">
        <f>11519.52</f>
        <v>11519.52</v>
      </c>
      <c r="G462" s="12" t="s">
        <v>550</v>
      </c>
      <c r="H462" s="13">
        <f>11519.52</f>
        <v>11519.52</v>
      </c>
    </row>
    <row r="463" spans="1:8" ht="24" x14ac:dyDescent="0.25">
      <c r="A463" s="42"/>
      <c r="B463" s="44"/>
      <c r="C463" s="9" t="s">
        <v>653</v>
      </c>
      <c r="D463" s="18" t="s">
        <v>275</v>
      </c>
      <c r="E463" s="8">
        <f>0</f>
        <v>0</v>
      </c>
      <c r="F463" s="8">
        <f>0</f>
        <v>0</v>
      </c>
      <c r="G463" s="12" t="s">
        <v>488</v>
      </c>
      <c r="H463" s="13">
        <f>0</f>
        <v>0</v>
      </c>
    </row>
    <row r="464" spans="1:8" ht="24" x14ac:dyDescent="0.25">
      <c r="A464" s="42"/>
      <c r="B464" s="44"/>
      <c r="C464" s="9" t="s">
        <v>654</v>
      </c>
      <c r="D464" s="18" t="s">
        <v>274</v>
      </c>
      <c r="E464" s="8">
        <f>0</f>
        <v>0</v>
      </c>
      <c r="F464" s="8">
        <f>0</f>
        <v>0</v>
      </c>
      <c r="G464" s="12" t="s">
        <v>488</v>
      </c>
      <c r="H464" s="13">
        <f>0</f>
        <v>0</v>
      </c>
    </row>
    <row r="465" spans="1:8" ht="24" x14ac:dyDescent="0.25">
      <c r="A465" s="42"/>
      <c r="B465" s="44"/>
      <c r="C465" s="9" t="s">
        <v>655</v>
      </c>
      <c r="D465" s="18" t="s">
        <v>276</v>
      </c>
      <c r="E465" s="8">
        <f>0</f>
        <v>0</v>
      </c>
      <c r="F465" s="8">
        <f>0</f>
        <v>0</v>
      </c>
      <c r="G465" s="12" t="s">
        <v>488</v>
      </c>
      <c r="H465" s="13">
        <f>0</f>
        <v>0</v>
      </c>
    </row>
    <row r="466" spans="1:8" x14ac:dyDescent="0.25">
      <c r="A466" s="42"/>
      <c r="B466" s="44"/>
      <c r="C466" s="9" t="s">
        <v>656</v>
      </c>
      <c r="D466" s="18" t="s">
        <v>860</v>
      </c>
      <c r="E466" s="8">
        <f>814.4</f>
        <v>814.4</v>
      </c>
      <c r="F466" s="8">
        <f>814.39</f>
        <v>814.39</v>
      </c>
      <c r="G466" s="12" t="s">
        <v>550</v>
      </c>
      <c r="H466" s="13">
        <f>814.39</f>
        <v>814.39</v>
      </c>
    </row>
    <row r="467" spans="1:8" ht="24" x14ac:dyDescent="0.25">
      <c r="A467" s="42"/>
      <c r="B467" s="44"/>
      <c r="C467" s="9" t="s">
        <v>657</v>
      </c>
      <c r="D467" s="18" t="s">
        <v>277</v>
      </c>
      <c r="E467" s="8">
        <f>0</f>
        <v>0</v>
      </c>
      <c r="F467" s="8">
        <f>0</f>
        <v>0</v>
      </c>
      <c r="G467" s="12" t="s">
        <v>488</v>
      </c>
      <c r="H467" s="13">
        <f>0</f>
        <v>0</v>
      </c>
    </row>
    <row r="468" spans="1:8" ht="24" x14ac:dyDescent="0.25">
      <c r="A468" s="42"/>
      <c r="B468" s="44"/>
      <c r="C468" s="9" t="s">
        <v>658</v>
      </c>
      <c r="D468" s="18" t="s">
        <v>659</v>
      </c>
      <c r="E468" s="8">
        <f>0</f>
        <v>0</v>
      </c>
      <c r="F468" s="8">
        <f>0</f>
        <v>0</v>
      </c>
      <c r="G468" s="12" t="s">
        <v>488</v>
      </c>
      <c r="H468" s="13">
        <f>0</f>
        <v>0</v>
      </c>
    </row>
    <row r="469" spans="1:8" ht="48" x14ac:dyDescent="0.25">
      <c r="A469" s="42"/>
      <c r="B469" s="44"/>
      <c r="C469" s="9" t="s">
        <v>660</v>
      </c>
      <c r="D469" s="18" t="s">
        <v>443</v>
      </c>
      <c r="E469" s="8">
        <f>25073.38</f>
        <v>25073.38</v>
      </c>
      <c r="F469" s="8">
        <f>25073.37</f>
        <v>25073.37</v>
      </c>
      <c r="G469" s="12" t="s">
        <v>550</v>
      </c>
      <c r="H469" s="13">
        <f>25073.37</f>
        <v>25073.37</v>
      </c>
    </row>
    <row r="470" spans="1:8" x14ac:dyDescent="0.25">
      <c r="A470" s="42"/>
      <c r="B470" s="44"/>
      <c r="C470" s="9" t="s">
        <v>861</v>
      </c>
      <c r="D470" s="7" t="s">
        <v>862</v>
      </c>
      <c r="E470" s="8">
        <f>358</f>
        <v>358</v>
      </c>
      <c r="F470" s="8">
        <f>358</f>
        <v>358</v>
      </c>
      <c r="G470" s="12" t="s">
        <v>550</v>
      </c>
      <c r="H470" s="13">
        <f>358</f>
        <v>358</v>
      </c>
    </row>
    <row r="471" spans="1:8" x14ac:dyDescent="0.25">
      <c r="A471" s="42"/>
      <c r="B471" s="44"/>
      <c r="C471" s="9" t="s">
        <v>661</v>
      </c>
      <c r="D471" s="18" t="s">
        <v>279</v>
      </c>
      <c r="E471" s="8">
        <f>E472+E473+E474</f>
        <v>1442.49</v>
      </c>
      <c r="F471" s="8">
        <f>F472+F473+F474</f>
        <v>1442.49</v>
      </c>
      <c r="G471" s="12" t="s">
        <v>550</v>
      </c>
      <c r="H471" s="13">
        <f>H472+H473+H474</f>
        <v>1442.49</v>
      </c>
    </row>
    <row r="472" spans="1:8" ht="24" x14ac:dyDescent="0.25">
      <c r="A472" s="42"/>
      <c r="B472" s="44"/>
      <c r="C472" s="9" t="s">
        <v>662</v>
      </c>
      <c r="D472" s="18" t="s">
        <v>444</v>
      </c>
      <c r="E472" s="8">
        <f>0</f>
        <v>0</v>
      </c>
      <c r="F472" s="8">
        <f>0</f>
        <v>0</v>
      </c>
      <c r="G472" s="12" t="s">
        <v>488</v>
      </c>
      <c r="H472" s="13">
        <f>0</f>
        <v>0</v>
      </c>
    </row>
    <row r="473" spans="1:8" x14ac:dyDescent="0.25">
      <c r="A473" s="42"/>
      <c r="B473" s="44"/>
      <c r="C473" s="9" t="s">
        <v>663</v>
      </c>
      <c r="D473" s="18" t="s">
        <v>280</v>
      </c>
      <c r="E473" s="8">
        <f>1442.49</f>
        <v>1442.49</v>
      </c>
      <c r="F473" s="8">
        <f>1442.49</f>
        <v>1442.49</v>
      </c>
      <c r="G473" s="12" t="s">
        <v>550</v>
      </c>
      <c r="H473" s="13">
        <f>1442.49</f>
        <v>1442.49</v>
      </c>
    </row>
    <row r="474" spans="1:8" ht="24" x14ac:dyDescent="0.25">
      <c r="A474" s="42"/>
      <c r="B474" s="44"/>
      <c r="C474" s="9" t="s">
        <v>664</v>
      </c>
      <c r="D474" s="18" t="s">
        <v>445</v>
      </c>
      <c r="E474" s="8">
        <f>0</f>
        <v>0</v>
      </c>
      <c r="F474" s="8">
        <f>0</f>
        <v>0</v>
      </c>
      <c r="G474" s="12" t="s">
        <v>488</v>
      </c>
      <c r="H474" s="13">
        <f>0</f>
        <v>0</v>
      </c>
    </row>
    <row r="475" spans="1:8" ht="24" x14ac:dyDescent="0.25">
      <c r="A475" s="42"/>
      <c r="B475" s="44"/>
      <c r="C475" s="9" t="s">
        <v>665</v>
      </c>
      <c r="D475" s="18" t="s">
        <v>281</v>
      </c>
      <c r="E475" s="8">
        <f>581.98</f>
        <v>581.98</v>
      </c>
      <c r="F475" s="8">
        <f>581.98</f>
        <v>581.98</v>
      </c>
      <c r="G475" s="12" t="s">
        <v>550</v>
      </c>
      <c r="H475" s="13">
        <f>581.98</f>
        <v>581.98</v>
      </c>
    </row>
    <row r="476" spans="1:8" ht="16.899999999999999" customHeight="1" x14ac:dyDescent="0.25">
      <c r="A476" s="42"/>
      <c r="B476" s="44"/>
      <c r="C476" s="5" t="s">
        <v>13</v>
      </c>
      <c r="D476" s="5" t="s">
        <v>40</v>
      </c>
      <c r="E476" s="6">
        <f>E477</f>
        <v>89971.19</v>
      </c>
      <c r="F476" s="6">
        <f>F477</f>
        <v>89920.94</v>
      </c>
      <c r="G476" s="10" t="s">
        <v>738</v>
      </c>
      <c r="H476" s="11">
        <f>H477</f>
        <v>89920.94</v>
      </c>
    </row>
    <row r="477" spans="1:8" ht="24" x14ac:dyDescent="0.25">
      <c r="A477" s="42"/>
      <c r="B477" s="44"/>
      <c r="C477" s="7" t="s">
        <v>21</v>
      </c>
      <c r="D477" s="18" t="s">
        <v>41</v>
      </c>
      <c r="E477" s="8">
        <f>E478</f>
        <v>89971.19</v>
      </c>
      <c r="F477" s="8">
        <f>F478</f>
        <v>89920.94</v>
      </c>
      <c r="G477" s="12" t="s">
        <v>738</v>
      </c>
      <c r="H477" s="13">
        <f>H478</f>
        <v>89920.94</v>
      </c>
    </row>
    <row r="478" spans="1:8" ht="24" x14ac:dyDescent="0.25">
      <c r="A478" s="42"/>
      <c r="B478" s="44"/>
      <c r="C478" s="9" t="s">
        <v>529</v>
      </c>
      <c r="D478" s="18" t="s">
        <v>282</v>
      </c>
      <c r="E478" s="8">
        <f>E479+E480+E481</f>
        <v>89971.19</v>
      </c>
      <c r="F478" s="8">
        <f>F479+F480+F481</f>
        <v>89920.94</v>
      </c>
      <c r="G478" s="12" t="s">
        <v>738</v>
      </c>
      <c r="H478" s="13">
        <f>H479+H480+H481</f>
        <v>89920.94</v>
      </c>
    </row>
    <row r="479" spans="1:8" ht="24" x14ac:dyDescent="0.25">
      <c r="A479" s="42"/>
      <c r="B479" s="44"/>
      <c r="C479" s="9" t="s">
        <v>530</v>
      </c>
      <c r="D479" s="18" t="s">
        <v>863</v>
      </c>
      <c r="E479" s="8">
        <f>16587.72</f>
        <v>16587.72</v>
      </c>
      <c r="F479" s="8">
        <f>16587.57</f>
        <v>16587.57</v>
      </c>
      <c r="G479" s="12" t="s">
        <v>550</v>
      </c>
      <c r="H479" s="13">
        <f>16587.57</f>
        <v>16587.57</v>
      </c>
    </row>
    <row r="480" spans="1:8" ht="24" x14ac:dyDescent="0.25">
      <c r="A480" s="42"/>
      <c r="B480" s="44"/>
      <c r="C480" s="9" t="s">
        <v>531</v>
      </c>
      <c r="D480" s="18" t="s">
        <v>864</v>
      </c>
      <c r="E480" s="8">
        <f>57651.1</f>
        <v>57651.1</v>
      </c>
      <c r="F480" s="8">
        <f>57601</f>
        <v>57601</v>
      </c>
      <c r="G480" s="12" t="s">
        <v>738</v>
      </c>
      <c r="H480" s="13">
        <f>57601</f>
        <v>57601</v>
      </c>
    </row>
    <row r="481" spans="1:8" x14ac:dyDescent="0.25">
      <c r="A481" s="42"/>
      <c r="B481" s="44"/>
      <c r="C481" s="9" t="s">
        <v>532</v>
      </c>
      <c r="D481" s="18" t="s">
        <v>865</v>
      </c>
      <c r="E481" s="8">
        <f>15732.37</f>
        <v>15732.37</v>
      </c>
      <c r="F481" s="8">
        <f>15732.37</f>
        <v>15732.37</v>
      </c>
      <c r="G481" s="12" t="s">
        <v>550</v>
      </c>
      <c r="H481" s="13">
        <f>15732.37</f>
        <v>15732.37</v>
      </c>
    </row>
    <row r="482" spans="1:8" ht="17.45" customHeight="1" thickBot="1" x14ac:dyDescent="0.3">
      <c r="A482" s="45" t="s">
        <v>18</v>
      </c>
      <c r="B482" s="46"/>
      <c r="C482" s="46"/>
      <c r="D482" s="46"/>
      <c r="E482" s="32">
        <f>E448+E454+E476</f>
        <v>277461.76000000001</v>
      </c>
      <c r="F482" s="29">
        <f>F448+F454+F476</f>
        <v>273283.75</v>
      </c>
      <c r="G482" s="30" t="s">
        <v>866</v>
      </c>
      <c r="H482" s="31">
        <f>H448+H454+H476</f>
        <v>273283.75</v>
      </c>
    </row>
    <row r="483" spans="1:8" ht="60.6" customHeight="1" x14ac:dyDescent="0.25">
      <c r="A483" s="51">
        <v>15</v>
      </c>
      <c r="B483" s="47" t="s">
        <v>283</v>
      </c>
      <c r="C483" s="5" t="s">
        <v>8</v>
      </c>
      <c r="D483" s="5" t="s">
        <v>666</v>
      </c>
      <c r="E483" s="15">
        <f>E484+E487+E493</f>
        <v>68967.27</v>
      </c>
      <c r="F483" s="15">
        <f>F484+F487+F493</f>
        <v>68960.58</v>
      </c>
      <c r="G483" s="16" t="s">
        <v>550</v>
      </c>
      <c r="H483" s="17">
        <f>H484+H487+H493</f>
        <v>68960.58</v>
      </c>
    </row>
    <row r="484" spans="1:8" ht="36" x14ac:dyDescent="0.25">
      <c r="A484" s="51"/>
      <c r="B484" s="47"/>
      <c r="C484" s="7" t="s">
        <v>21</v>
      </c>
      <c r="D484" s="7" t="s">
        <v>667</v>
      </c>
      <c r="E484" s="8">
        <f>E485+E486</f>
        <v>0</v>
      </c>
      <c r="F484" s="8">
        <f>F485+F486</f>
        <v>0</v>
      </c>
      <c r="G484" s="12" t="s">
        <v>10</v>
      </c>
      <c r="H484" s="13">
        <f>H485+H486</f>
        <v>0</v>
      </c>
    </row>
    <row r="485" spans="1:8" ht="24" x14ac:dyDescent="0.25">
      <c r="A485" s="51"/>
      <c r="B485" s="47"/>
      <c r="C485" s="9" t="s">
        <v>525</v>
      </c>
      <c r="D485" s="7" t="s">
        <v>668</v>
      </c>
      <c r="E485" s="8">
        <f>0</f>
        <v>0</v>
      </c>
      <c r="F485" s="8">
        <f>0</f>
        <v>0</v>
      </c>
      <c r="G485" s="12" t="s">
        <v>10</v>
      </c>
      <c r="H485" s="13">
        <f>0</f>
        <v>0</v>
      </c>
    </row>
    <row r="486" spans="1:8" ht="36" x14ac:dyDescent="0.25">
      <c r="A486" s="51"/>
      <c r="B486" s="47"/>
      <c r="C486" s="9" t="s">
        <v>529</v>
      </c>
      <c r="D486" s="7" t="s">
        <v>284</v>
      </c>
      <c r="E486" s="8">
        <f>0</f>
        <v>0</v>
      </c>
      <c r="F486" s="8">
        <f>0</f>
        <v>0</v>
      </c>
      <c r="G486" s="12" t="s">
        <v>10</v>
      </c>
      <c r="H486" s="13">
        <f>0</f>
        <v>0</v>
      </c>
    </row>
    <row r="487" spans="1:8" ht="24" x14ac:dyDescent="0.25">
      <c r="A487" s="51"/>
      <c r="B487" s="47"/>
      <c r="C487" s="7" t="s">
        <v>36</v>
      </c>
      <c r="D487" s="7" t="s">
        <v>285</v>
      </c>
      <c r="E487" s="8">
        <f>E488+E489+E490+E491+E492</f>
        <v>68746.27</v>
      </c>
      <c r="F487" s="8">
        <f>F488+F489+F490+F491+F492</f>
        <v>68746.27</v>
      </c>
      <c r="G487" s="12" t="s">
        <v>550</v>
      </c>
      <c r="H487" s="13">
        <f>H488+H489+H490+H491+H492</f>
        <v>68746.27</v>
      </c>
    </row>
    <row r="488" spans="1:8" ht="72" x14ac:dyDescent="0.25">
      <c r="A488" s="51"/>
      <c r="B488" s="47"/>
      <c r="C488" s="9" t="s">
        <v>540</v>
      </c>
      <c r="D488" s="7" t="s">
        <v>286</v>
      </c>
      <c r="E488" s="8">
        <f>0</f>
        <v>0</v>
      </c>
      <c r="F488" s="8">
        <f>0</f>
        <v>0</v>
      </c>
      <c r="G488" s="12" t="s">
        <v>10</v>
      </c>
      <c r="H488" s="13">
        <f>0</f>
        <v>0</v>
      </c>
    </row>
    <row r="489" spans="1:8" ht="36" x14ac:dyDescent="0.25">
      <c r="A489" s="51"/>
      <c r="B489" s="47"/>
      <c r="C489" s="9" t="s">
        <v>541</v>
      </c>
      <c r="D489" s="7" t="s">
        <v>287</v>
      </c>
      <c r="E489" s="8">
        <f>292+5539</f>
        <v>5831</v>
      </c>
      <c r="F489" s="8">
        <f>292+5539</f>
        <v>5831</v>
      </c>
      <c r="G489" s="12" t="s">
        <v>550</v>
      </c>
      <c r="H489" s="13">
        <f>292+5539</f>
        <v>5831</v>
      </c>
    </row>
    <row r="490" spans="1:8" ht="36" x14ac:dyDescent="0.25">
      <c r="A490" s="51"/>
      <c r="B490" s="47"/>
      <c r="C490" s="9" t="s">
        <v>542</v>
      </c>
      <c r="D490" s="7" t="s">
        <v>288</v>
      </c>
      <c r="E490" s="8">
        <f>61133.38</f>
        <v>61133.38</v>
      </c>
      <c r="F490" s="8">
        <f>61133.38</f>
        <v>61133.38</v>
      </c>
      <c r="G490" s="12" t="s">
        <v>550</v>
      </c>
      <c r="H490" s="13">
        <f>61133.38</f>
        <v>61133.38</v>
      </c>
    </row>
    <row r="491" spans="1:8" ht="36" x14ac:dyDescent="0.25">
      <c r="A491" s="51"/>
      <c r="B491" s="47"/>
      <c r="C491" s="9" t="s">
        <v>543</v>
      </c>
      <c r="D491" s="7" t="s">
        <v>289</v>
      </c>
      <c r="E491" s="8">
        <f>1781.89</f>
        <v>1781.89</v>
      </c>
      <c r="F491" s="8">
        <f>1781.89</f>
        <v>1781.89</v>
      </c>
      <c r="G491" s="12" t="s">
        <v>550</v>
      </c>
      <c r="H491" s="13">
        <f>1781.89</f>
        <v>1781.89</v>
      </c>
    </row>
    <row r="492" spans="1:8" ht="93.6" customHeight="1" x14ac:dyDescent="0.25">
      <c r="A492" s="51"/>
      <c r="B492" s="47"/>
      <c r="C492" s="9" t="s">
        <v>544</v>
      </c>
      <c r="D492" s="7" t="s">
        <v>290</v>
      </c>
      <c r="E492" s="8">
        <f>0</f>
        <v>0</v>
      </c>
      <c r="F492" s="8">
        <f>0</f>
        <v>0</v>
      </c>
      <c r="G492" s="12" t="s">
        <v>10</v>
      </c>
      <c r="H492" s="13">
        <f>0</f>
        <v>0</v>
      </c>
    </row>
    <row r="493" spans="1:8" ht="50.45" customHeight="1" x14ac:dyDescent="0.25">
      <c r="A493" s="51"/>
      <c r="B493" s="47"/>
      <c r="C493" s="7" t="s">
        <v>11</v>
      </c>
      <c r="D493" s="7" t="s">
        <v>291</v>
      </c>
      <c r="E493" s="8">
        <f>E494+E495</f>
        <v>221</v>
      </c>
      <c r="F493" s="8">
        <f>F494+F495</f>
        <v>214.31</v>
      </c>
      <c r="G493" s="12" t="s">
        <v>754</v>
      </c>
      <c r="H493" s="13">
        <f>H494+H495</f>
        <v>214.31</v>
      </c>
    </row>
    <row r="494" spans="1:8" ht="48" x14ac:dyDescent="0.25">
      <c r="A494" s="51"/>
      <c r="B494" s="47"/>
      <c r="C494" s="9" t="s">
        <v>523</v>
      </c>
      <c r="D494" s="7" t="s">
        <v>292</v>
      </c>
      <c r="E494" s="8">
        <f>0</f>
        <v>0</v>
      </c>
      <c r="F494" s="8">
        <f>0</f>
        <v>0</v>
      </c>
      <c r="G494" s="12" t="s">
        <v>10</v>
      </c>
      <c r="H494" s="13">
        <f>0</f>
        <v>0</v>
      </c>
    </row>
    <row r="495" spans="1:8" ht="84" x14ac:dyDescent="0.25">
      <c r="A495" s="51"/>
      <c r="B495" s="47"/>
      <c r="C495" s="9" t="s">
        <v>524</v>
      </c>
      <c r="D495" s="7" t="s">
        <v>669</v>
      </c>
      <c r="E495" s="8">
        <f>49+172</f>
        <v>221</v>
      </c>
      <c r="F495" s="8">
        <f>47.58+166.73</f>
        <v>214.31</v>
      </c>
      <c r="G495" s="12" t="s">
        <v>754</v>
      </c>
      <c r="H495" s="13">
        <f>47.58+166.73</f>
        <v>214.31</v>
      </c>
    </row>
    <row r="496" spans="1:8" ht="36" x14ac:dyDescent="0.25">
      <c r="A496" s="51"/>
      <c r="B496" s="47"/>
      <c r="C496" s="5" t="s">
        <v>20</v>
      </c>
      <c r="D496" s="5" t="s">
        <v>293</v>
      </c>
      <c r="E496" s="6">
        <f>E497+E503+E505+E509+E511+E517+E519</f>
        <v>25425.549999999996</v>
      </c>
      <c r="F496" s="6">
        <f>F497+F503+F505+F509+F511+F517+F519</f>
        <v>25133.09</v>
      </c>
      <c r="G496" s="10" t="s">
        <v>740</v>
      </c>
      <c r="H496" s="11">
        <f>H497+H503+H505+H509+H511+H517+H519</f>
        <v>25133.09</v>
      </c>
    </row>
    <row r="497" spans="1:8" x14ac:dyDescent="0.25">
      <c r="A497" s="51"/>
      <c r="B497" s="47"/>
      <c r="C497" s="7" t="s">
        <v>21</v>
      </c>
      <c r="D497" s="7" t="s">
        <v>294</v>
      </c>
      <c r="E497" s="8">
        <f>E498+E499+E500+E501+E502</f>
        <v>14186.4</v>
      </c>
      <c r="F497" s="8">
        <f>F498+F499+F500+F501+F502</f>
        <v>14128.119999999999</v>
      </c>
      <c r="G497" s="12" t="s">
        <v>755</v>
      </c>
      <c r="H497" s="13">
        <f>H498+H499+H500+H501+H502</f>
        <v>14128.119999999999</v>
      </c>
    </row>
    <row r="498" spans="1:8" ht="36" x14ac:dyDescent="0.25">
      <c r="A498" s="51"/>
      <c r="B498" s="47"/>
      <c r="C498" s="9" t="s">
        <v>525</v>
      </c>
      <c r="D498" s="7" t="s">
        <v>295</v>
      </c>
      <c r="E498" s="8">
        <f>0</f>
        <v>0</v>
      </c>
      <c r="F498" s="8">
        <f>0</f>
        <v>0</v>
      </c>
      <c r="G498" s="12" t="s">
        <v>10</v>
      </c>
      <c r="H498" s="13">
        <f>0</f>
        <v>0</v>
      </c>
    </row>
    <row r="499" spans="1:8" ht="36" x14ac:dyDescent="0.25">
      <c r="A499" s="51"/>
      <c r="B499" s="47"/>
      <c r="C499" s="9" t="s">
        <v>529</v>
      </c>
      <c r="D499" s="7" t="s">
        <v>296</v>
      </c>
      <c r="E499" s="8">
        <f>600.75</f>
        <v>600.75</v>
      </c>
      <c r="F499" s="8">
        <f>542.47</f>
        <v>542.47</v>
      </c>
      <c r="G499" s="12" t="s">
        <v>867</v>
      </c>
      <c r="H499" s="13">
        <f>542.47</f>
        <v>542.47</v>
      </c>
    </row>
    <row r="500" spans="1:8" ht="60" x14ac:dyDescent="0.25">
      <c r="A500" s="51"/>
      <c r="B500" s="47"/>
      <c r="C500" s="9" t="s">
        <v>539</v>
      </c>
      <c r="D500" s="7" t="s">
        <v>297</v>
      </c>
      <c r="E500" s="8">
        <f>0</f>
        <v>0</v>
      </c>
      <c r="F500" s="8">
        <f>0</f>
        <v>0</v>
      </c>
      <c r="G500" s="12" t="s">
        <v>10</v>
      </c>
      <c r="H500" s="13">
        <f>0</f>
        <v>0</v>
      </c>
    </row>
    <row r="501" spans="1:8" x14ac:dyDescent="0.25">
      <c r="A501" s="51"/>
      <c r="B501" s="47"/>
      <c r="C501" s="9" t="s">
        <v>533</v>
      </c>
      <c r="D501" s="7" t="s">
        <v>298</v>
      </c>
      <c r="E501" s="8">
        <f>13585.65</f>
        <v>13585.65</v>
      </c>
      <c r="F501" s="8">
        <f>13585.65</f>
        <v>13585.65</v>
      </c>
      <c r="G501" s="12" t="s">
        <v>550</v>
      </c>
      <c r="H501" s="13">
        <f>13585.65</f>
        <v>13585.65</v>
      </c>
    </row>
    <row r="502" spans="1:8" ht="60" x14ac:dyDescent="0.25">
      <c r="A502" s="51"/>
      <c r="B502" s="47"/>
      <c r="C502" s="9" t="s">
        <v>534</v>
      </c>
      <c r="D502" s="7" t="s">
        <v>670</v>
      </c>
      <c r="E502" s="8">
        <f>0</f>
        <v>0</v>
      </c>
      <c r="F502" s="8">
        <f>0</f>
        <v>0</v>
      </c>
      <c r="G502" s="12" t="s">
        <v>10</v>
      </c>
      <c r="H502" s="13">
        <f>0</f>
        <v>0</v>
      </c>
    </row>
    <row r="503" spans="1:8" x14ac:dyDescent="0.25">
      <c r="A503" s="51"/>
      <c r="B503" s="47"/>
      <c r="C503" s="7" t="s">
        <v>36</v>
      </c>
      <c r="D503" s="7" t="s">
        <v>299</v>
      </c>
      <c r="E503" s="8">
        <f>E504</f>
        <v>732</v>
      </c>
      <c r="F503" s="8">
        <f>F504</f>
        <v>722</v>
      </c>
      <c r="G503" s="12" t="s">
        <v>747</v>
      </c>
      <c r="H503" s="13">
        <f>H504</f>
        <v>722</v>
      </c>
    </row>
    <row r="504" spans="1:8" ht="132" x14ac:dyDescent="0.25">
      <c r="A504" s="51"/>
      <c r="B504" s="47"/>
      <c r="C504" s="9" t="s">
        <v>540</v>
      </c>
      <c r="D504" s="7" t="s">
        <v>300</v>
      </c>
      <c r="E504" s="8">
        <f>732</f>
        <v>732</v>
      </c>
      <c r="F504" s="8">
        <f>722</f>
        <v>722</v>
      </c>
      <c r="G504" s="12" t="s">
        <v>747</v>
      </c>
      <c r="H504" s="13">
        <f>722</f>
        <v>722</v>
      </c>
    </row>
    <row r="505" spans="1:8" x14ac:dyDescent="0.25">
      <c r="A505" s="51"/>
      <c r="B505" s="47"/>
      <c r="C505" s="7" t="s">
        <v>11</v>
      </c>
      <c r="D505" s="7" t="s">
        <v>301</v>
      </c>
      <c r="E505" s="8">
        <f>E506+E507+E508</f>
        <v>1659.86</v>
      </c>
      <c r="F505" s="8">
        <f>F506+F507+F508</f>
        <v>1615.11</v>
      </c>
      <c r="G505" s="12" t="s">
        <v>868</v>
      </c>
      <c r="H505" s="13">
        <f>H506+H507+H508</f>
        <v>1615.11</v>
      </c>
    </row>
    <row r="506" spans="1:8" x14ac:dyDescent="0.25">
      <c r="A506" s="51"/>
      <c r="B506" s="47"/>
      <c r="C506" s="9" t="s">
        <v>523</v>
      </c>
      <c r="D506" s="7" t="s">
        <v>302</v>
      </c>
      <c r="E506" s="8">
        <f>976.85</f>
        <v>976.85</v>
      </c>
      <c r="F506" s="8">
        <f>976.85</f>
        <v>976.85</v>
      </c>
      <c r="G506" s="12" t="s">
        <v>550</v>
      </c>
      <c r="H506" s="13">
        <f>976.85</f>
        <v>976.85</v>
      </c>
    </row>
    <row r="507" spans="1:8" ht="48" x14ac:dyDescent="0.25">
      <c r="A507" s="51"/>
      <c r="B507" s="47"/>
      <c r="C507" s="9" t="s">
        <v>524</v>
      </c>
      <c r="D507" s="7" t="s">
        <v>303</v>
      </c>
      <c r="E507" s="8">
        <f>170</f>
        <v>170</v>
      </c>
      <c r="F507" s="8">
        <f>129</f>
        <v>129</v>
      </c>
      <c r="G507" s="12" t="s">
        <v>869</v>
      </c>
      <c r="H507" s="13">
        <f>129</f>
        <v>129</v>
      </c>
    </row>
    <row r="508" spans="1:8" ht="36" x14ac:dyDescent="0.25">
      <c r="A508" s="51"/>
      <c r="B508" s="47"/>
      <c r="C508" s="9" t="s">
        <v>563</v>
      </c>
      <c r="D508" s="7" t="s">
        <v>304</v>
      </c>
      <c r="E508" s="8">
        <f>513.01</f>
        <v>513.01</v>
      </c>
      <c r="F508" s="8">
        <f>509.26</f>
        <v>509.26</v>
      </c>
      <c r="G508" s="12" t="s">
        <v>744</v>
      </c>
      <c r="H508" s="13">
        <f>509.26</f>
        <v>509.26</v>
      </c>
    </row>
    <row r="509" spans="1:8" ht="24" x14ac:dyDescent="0.25">
      <c r="A509" s="51"/>
      <c r="B509" s="47"/>
      <c r="C509" s="7" t="s">
        <v>92</v>
      </c>
      <c r="D509" s="7" t="s">
        <v>305</v>
      </c>
      <c r="E509" s="8">
        <f>E510</f>
        <v>0</v>
      </c>
      <c r="F509" s="8">
        <f>F510</f>
        <v>0</v>
      </c>
      <c r="G509" s="12" t="s">
        <v>10</v>
      </c>
      <c r="H509" s="13">
        <f>H510</f>
        <v>0</v>
      </c>
    </row>
    <row r="510" spans="1:8" ht="24" x14ac:dyDescent="0.25">
      <c r="A510" s="51"/>
      <c r="B510" s="47"/>
      <c r="C510" s="9" t="s">
        <v>622</v>
      </c>
      <c r="D510" s="7" t="s">
        <v>306</v>
      </c>
      <c r="E510" s="8">
        <f>0</f>
        <v>0</v>
      </c>
      <c r="F510" s="8">
        <f>0</f>
        <v>0</v>
      </c>
      <c r="G510" s="12" t="s">
        <v>10</v>
      </c>
      <c r="H510" s="13">
        <f>0</f>
        <v>0</v>
      </c>
    </row>
    <row r="511" spans="1:8" ht="24" x14ac:dyDescent="0.25">
      <c r="A511" s="51"/>
      <c r="B511" s="47"/>
      <c r="C511" s="7" t="s">
        <v>380</v>
      </c>
      <c r="D511" s="7" t="s">
        <v>294</v>
      </c>
      <c r="E511" s="8">
        <f>E512+E513+E514+E515+E516</f>
        <v>0</v>
      </c>
      <c r="F511" s="8">
        <f>F512+F513+F514+F515+F516</f>
        <v>0</v>
      </c>
      <c r="G511" s="12" t="s">
        <v>10</v>
      </c>
      <c r="H511" s="13">
        <f>H512+H513+H514+H515+H516</f>
        <v>0</v>
      </c>
    </row>
    <row r="512" spans="1:8" ht="58.15" customHeight="1" x14ac:dyDescent="0.25">
      <c r="A512" s="51"/>
      <c r="B512" s="47"/>
      <c r="C512" s="9" t="s">
        <v>672</v>
      </c>
      <c r="D512" s="7" t="s">
        <v>518</v>
      </c>
      <c r="E512" s="8">
        <f>0</f>
        <v>0</v>
      </c>
      <c r="F512" s="8">
        <f>0</f>
        <v>0</v>
      </c>
      <c r="G512" s="12" t="s">
        <v>10</v>
      </c>
      <c r="H512" s="13">
        <f>0</f>
        <v>0</v>
      </c>
    </row>
    <row r="513" spans="1:8" ht="59.45" customHeight="1" x14ac:dyDescent="0.25">
      <c r="A513" s="51"/>
      <c r="B513" s="47"/>
      <c r="C513" s="9" t="s">
        <v>870</v>
      </c>
      <c r="D513" s="7" t="s">
        <v>518</v>
      </c>
      <c r="E513" s="8">
        <f>0</f>
        <v>0</v>
      </c>
      <c r="F513" s="8">
        <f>0</f>
        <v>0</v>
      </c>
      <c r="G513" s="12" t="s">
        <v>10</v>
      </c>
      <c r="H513" s="13">
        <f>0</f>
        <v>0</v>
      </c>
    </row>
    <row r="514" spans="1:8" ht="72" x14ac:dyDescent="0.25">
      <c r="A514" s="51"/>
      <c r="B514" s="47"/>
      <c r="C514" s="9" t="s">
        <v>871</v>
      </c>
      <c r="D514" s="7" t="s">
        <v>519</v>
      </c>
      <c r="E514" s="8">
        <f>0</f>
        <v>0</v>
      </c>
      <c r="F514" s="8">
        <f>0</f>
        <v>0</v>
      </c>
      <c r="G514" s="12" t="s">
        <v>10</v>
      </c>
      <c r="H514" s="13">
        <f>0</f>
        <v>0</v>
      </c>
    </row>
    <row r="515" spans="1:8" ht="72" x14ac:dyDescent="0.25">
      <c r="A515" s="51"/>
      <c r="B515" s="47"/>
      <c r="C515" s="9" t="s">
        <v>872</v>
      </c>
      <c r="D515" s="7" t="s">
        <v>519</v>
      </c>
      <c r="E515" s="8">
        <f>0</f>
        <v>0</v>
      </c>
      <c r="F515" s="8">
        <f>0</f>
        <v>0</v>
      </c>
      <c r="G515" s="12" t="s">
        <v>10</v>
      </c>
      <c r="H515" s="13">
        <f>0</f>
        <v>0</v>
      </c>
    </row>
    <row r="516" spans="1:8" ht="72" x14ac:dyDescent="0.25">
      <c r="A516" s="51"/>
      <c r="B516" s="47"/>
      <c r="C516" s="9" t="s">
        <v>673</v>
      </c>
      <c r="D516" s="7" t="s">
        <v>519</v>
      </c>
      <c r="E516" s="8">
        <f>0</f>
        <v>0</v>
      </c>
      <c r="F516" s="8">
        <f>0</f>
        <v>0</v>
      </c>
      <c r="G516" s="12" t="s">
        <v>10</v>
      </c>
      <c r="H516" s="13">
        <f>0</f>
        <v>0</v>
      </c>
    </row>
    <row r="517" spans="1:8" ht="24" x14ac:dyDescent="0.25">
      <c r="A517" s="51"/>
      <c r="B517" s="47"/>
      <c r="C517" s="7" t="s">
        <v>307</v>
      </c>
      <c r="D517" s="7" t="s">
        <v>301</v>
      </c>
      <c r="E517" s="8">
        <f>E518</f>
        <v>0</v>
      </c>
      <c r="F517" s="8">
        <f>F518</f>
        <v>0</v>
      </c>
      <c r="G517" s="12" t="s">
        <v>10</v>
      </c>
      <c r="H517" s="13">
        <f>H518</f>
        <v>0</v>
      </c>
    </row>
    <row r="518" spans="1:8" ht="24" x14ac:dyDescent="0.25">
      <c r="A518" s="51"/>
      <c r="B518" s="47"/>
      <c r="C518" s="9" t="s">
        <v>674</v>
      </c>
      <c r="D518" s="7" t="s">
        <v>520</v>
      </c>
      <c r="E518" s="8">
        <f>0</f>
        <v>0</v>
      </c>
      <c r="F518" s="8">
        <f>0</f>
        <v>0</v>
      </c>
      <c r="G518" s="12" t="s">
        <v>10</v>
      </c>
      <c r="H518" s="13">
        <f>0</f>
        <v>0</v>
      </c>
    </row>
    <row r="519" spans="1:8" x14ac:dyDescent="0.25">
      <c r="A519" s="51"/>
      <c r="B519" s="47"/>
      <c r="C519" s="7" t="s">
        <v>308</v>
      </c>
      <c r="D519" s="7" t="s">
        <v>86</v>
      </c>
      <c r="E519" s="8">
        <f>E520+E521+E522+E523+E524+E525+E526</f>
        <v>8847.2899999999991</v>
      </c>
      <c r="F519" s="8">
        <f>F520+F521+F522+F523+F524+F525+F526</f>
        <v>8667.86</v>
      </c>
      <c r="G519" s="12" t="s">
        <v>743</v>
      </c>
      <c r="H519" s="13">
        <f>H520+H521+H522+H523+H524+H525+H526</f>
        <v>8667.86</v>
      </c>
    </row>
    <row r="520" spans="1:8" ht="24" x14ac:dyDescent="0.25">
      <c r="A520" s="51"/>
      <c r="B520" s="47"/>
      <c r="C520" s="9" t="s">
        <v>675</v>
      </c>
      <c r="D520" s="7" t="s">
        <v>309</v>
      </c>
      <c r="E520" s="8">
        <f>0</f>
        <v>0</v>
      </c>
      <c r="F520" s="8">
        <f>0</f>
        <v>0</v>
      </c>
      <c r="G520" s="12" t="s">
        <v>10</v>
      </c>
      <c r="H520" s="13">
        <f>0</f>
        <v>0</v>
      </c>
    </row>
    <row r="521" spans="1:8" ht="36" x14ac:dyDescent="0.25">
      <c r="A521" s="51"/>
      <c r="B521" s="47"/>
      <c r="C521" s="9" t="s">
        <v>676</v>
      </c>
      <c r="D521" s="7" t="s">
        <v>310</v>
      </c>
      <c r="E521" s="8">
        <f>0</f>
        <v>0</v>
      </c>
      <c r="F521" s="8">
        <f>0</f>
        <v>0</v>
      </c>
      <c r="G521" s="12" t="s">
        <v>10</v>
      </c>
      <c r="H521" s="13">
        <f>0</f>
        <v>0</v>
      </c>
    </row>
    <row r="522" spans="1:8" ht="24" x14ac:dyDescent="0.25">
      <c r="A522" s="51"/>
      <c r="B522" s="47"/>
      <c r="C522" s="9" t="s">
        <v>873</v>
      </c>
      <c r="D522" s="7" t="s">
        <v>874</v>
      </c>
      <c r="E522" s="8">
        <f>0</f>
        <v>0</v>
      </c>
      <c r="F522" s="8">
        <f>0</f>
        <v>0</v>
      </c>
      <c r="G522" s="12" t="s">
        <v>10</v>
      </c>
      <c r="H522" s="13">
        <f>0</f>
        <v>0</v>
      </c>
    </row>
    <row r="523" spans="1:8" ht="72" x14ac:dyDescent="0.25">
      <c r="A523" s="51"/>
      <c r="B523" s="47"/>
      <c r="C523" s="9" t="s">
        <v>875</v>
      </c>
      <c r="D523" s="7" t="s">
        <v>876</v>
      </c>
      <c r="E523" s="8">
        <f>0</f>
        <v>0</v>
      </c>
      <c r="F523" s="8">
        <f>0</f>
        <v>0</v>
      </c>
      <c r="G523" s="12" t="s">
        <v>10</v>
      </c>
      <c r="H523" s="13">
        <f>0</f>
        <v>0</v>
      </c>
    </row>
    <row r="524" spans="1:8" ht="60" x14ac:dyDescent="0.25">
      <c r="A524" s="51"/>
      <c r="B524" s="47"/>
      <c r="C524" s="9" t="s">
        <v>677</v>
      </c>
      <c r="D524" s="7" t="s">
        <v>521</v>
      </c>
      <c r="E524" s="8">
        <f>283.69+6422.7+2140.9</f>
        <v>8847.2899999999991</v>
      </c>
      <c r="F524" s="8">
        <f>211.41+6342.34+2114.11</f>
        <v>8667.86</v>
      </c>
      <c r="G524" s="12" t="s">
        <v>743</v>
      </c>
      <c r="H524" s="13">
        <f>211.41+6342.34+2114.11</f>
        <v>8667.86</v>
      </c>
    </row>
    <row r="525" spans="1:8" ht="87.6" customHeight="1" x14ac:dyDescent="0.25">
      <c r="A525" s="51"/>
      <c r="B525" s="47"/>
      <c r="C525" s="9" t="s">
        <v>678</v>
      </c>
      <c r="D525" s="7" t="s">
        <v>522</v>
      </c>
      <c r="E525" s="8">
        <f>0</f>
        <v>0</v>
      </c>
      <c r="F525" s="8">
        <f>0</f>
        <v>0</v>
      </c>
      <c r="G525" s="12" t="s">
        <v>10</v>
      </c>
      <c r="H525" s="13">
        <f>0</f>
        <v>0</v>
      </c>
    </row>
    <row r="526" spans="1:8" ht="77.45" customHeight="1" x14ac:dyDescent="0.25">
      <c r="A526" s="51"/>
      <c r="B526" s="47"/>
      <c r="C526" s="9" t="s">
        <v>877</v>
      </c>
      <c r="D526" s="7" t="s">
        <v>878</v>
      </c>
      <c r="E526" s="8">
        <f>0</f>
        <v>0</v>
      </c>
      <c r="F526" s="8">
        <f>0</f>
        <v>0</v>
      </c>
      <c r="G526" s="12" t="s">
        <v>10</v>
      </c>
      <c r="H526" s="13">
        <f>0</f>
        <v>0</v>
      </c>
    </row>
    <row r="527" spans="1:8" ht="18" customHeight="1" thickBot="1" x14ac:dyDescent="0.3">
      <c r="A527" s="38" t="s">
        <v>18</v>
      </c>
      <c r="B527" s="39"/>
      <c r="C527" s="39"/>
      <c r="D527" s="40"/>
      <c r="E527" s="32">
        <f>E483+E496</f>
        <v>94392.82</v>
      </c>
      <c r="F527" s="29">
        <f>F483+F496</f>
        <v>94093.67</v>
      </c>
      <c r="G527" s="30" t="s">
        <v>569</v>
      </c>
      <c r="H527" s="31">
        <f>H483+H496</f>
        <v>94093.67</v>
      </c>
    </row>
    <row r="528" spans="1:8" ht="24" x14ac:dyDescent="0.25">
      <c r="A528" s="41">
        <v>16</v>
      </c>
      <c r="B528" s="43" t="s">
        <v>311</v>
      </c>
      <c r="C528" s="14" t="s">
        <v>8</v>
      </c>
      <c r="D528" s="14" t="s">
        <v>446</v>
      </c>
      <c r="E528" s="25">
        <f>E529+E530+E531</f>
        <v>0</v>
      </c>
      <c r="F528" s="25">
        <f>F529+F530+F531</f>
        <v>0</v>
      </c>
      <c r="G528" s="26" t="s">
        <v>10</v>
      </c>
      <c r="H528" s="27">
        <f>H529+H530+H531</f>
        <v>0</v>
      </c>
    </row>
    <row r="529" spans="1:8" ht="24" x14ac:dyDescent="0.25">
      <c r="A529" s="42"/>
      <c r="B529" s="44"/>
      <c r="C529" s="7" t="s">
        <v>36</v>
      </c>
      <c r="D529" s="7" t="s">
        <v>447</v>
      </c>
      <c r="E529" s="8">
        <f>0</f>
        <v>0</v>
      </c>
      <c r="F529" s="8">
        <f>0</f>
        <v>0</v>
      </c>
      <c r="G529" s="12" t="s">
        <v>10</v>
      </c>
      <c r="H529" s="13">
        <f>0</f>
        <v>0</v>
      </c>
    </row>
    <row r="530" spans="1:8" ht="24" x14ac:dyDescent="0.25">
      <c r="A530" s="42"/>
      <c r="B530" s="44"/>
      <c r="C530" s="7" t="s">
        <v>11</v>
      </c>
      <c r="D530" s="7" t="s">
        <v>312</v>
      </c>
      <c r="E530" s="8">
        <f>0</f>
        <v>0</v>
      </c>
      <c r="F530" s="8">
        <f>0</f>
        <v>0</v>
      </c>
      <c r="G530" s="12" t="s">
        <v>10</v>
      </c>
      <c r="H530" s="13">
        <f>0</f>
        <v>0</v>
      </c>
    </row>
    <row r="531" spans="1:8" ht="24" x14ac:dyDescent="0.25">
      <c r="A531" s="42"/>
      <c r="B531" s="44"/>
      <c r="C531" s="7" t="s">
        <v>92</v>
      </c>
      <c r="D531" s="7" t="s">
        <v>313</v>
      </c>
      <c r="E531" s="8">
        <f>0</f>
        <v>0</v>
      </c>
      <c r="F531" s="8">
        <f>0</f>
        <v>0</v>
      </c>
      <c r="G531" s="12" t="s">
        <v>10</v>
      </c>
      <c r="H531" s="13">
        <f>0</f>
        <v>0</v>
      </c>
    </row>
    <row r="532" spans="1:8" ht="24" x14ac:dyDescent="0.25">
      <c r="A532" s="42"/>
      <c r="B532" s="44"/>
      <c r="C532" s="5" t="s">
        <v>20</v>
      </c>
      <c r="D532" s="5" t="s">
        <v>498</v>
      </c>
      <c r="E532" s="6">
        <f>E533+E535</f>
        <v>478</v>
      </c>
      <c r="F532" s="6">
        <f>F533+F535</f>
        <v>421.95</v>
      </c>
      <c r="G532" s="10" t="s">
        <v>760</v>
      </c>
      <c r="H532" s="11">
        <f>H533+H535</f>
        <v>421.95</v>
      </c>
    </row>
    <row r="533" spans="1:8" ht="48" x14ac:dyDescent="0.25">
      <c r="A533" s="42"/>
      <c r="B533" s="44"/>
      <c r="C533" s="7" t="s">
        <v>11</v>
      </c>
      <c r="D533" s="7" t="s">
        <v>499</v>
      </c>
      <c r="E533" s="8">
        <f>E534</f>
        <v>478</v>
      </c>
      <c r="F533" s="8">
        <f>F534</f>
        <v>421.95</v>
      </c>
      <c r="G533" s="12" t="s">
        <v>760</v>
      </c>
      <c r="H533" s="13">
        <f>H534</f>
        <v>421.95</v>
      </c>
    </row>
    <row r="534" spans="1:8" ht="108" x14ac:dyDescent="0.25">
      <c r="A534" s="42"/>
      <c r="B534" s="44"/>
      <c r="C534" s="9" t="s">
        <v>523</v>
      </c>
      <c r="D534" s="7" t="s">
        <v>314</v>
      </c>
      <c r="E534" s="8">
        <f>478</f>
        <v>478</v>
      </c>
      <c r="F534" s="8">
        <f>421.95</f>
        <v>421.95</v>
      </c>
      <c r="G534" s="12" t="s">
        <v>760</v>
      </c>
      <c r="H534" s="13">
        <f>421.95</f>
        <v>421.95</v>
      </c>
    </row>
    <row r="535" spans="1:8" ht="36" x14ac:dyDescent="0.25">
      <c r="A535" s="42"/>
      <c r="B535" s="44"/>
      <c r="C535" s="7" t="s">
        <v>92</v>
      </c>
      <c r="D535" s="7" t="s">
        <v>500</v>
      </c>
      <c r="E535" s="8">
        <f>0</f>
        <v>0</v>
      </c>
      <c r="F535" s="8">
        <f>0</f>
        <v>0</v>
      </c>
      <c r="G535" s="12" t="s">
        <v>10</v>
      </c>
      <c r="H535" s="13">
        <f>0</f>
        <v>0</v>
      </c>
    </row>
    <row r="536" spans="1:8" ht="24" x14ac:dyDescent="0.25">
      <c r="A536" s="42"/>
      <c r="B536" s="44"/>
      <c r="C536" s="5" t="s">
        <v>29</v>
      </c>
      <c r="D536" s="5" t="s">
        <v>40</v>
      </c>
      <c r="E536" s="6">
        <f>E537</f>
        <v>0</v>
      </c>
      <c r="F536" s="6">
        <f>F537</f>
        <v>0</v>
      </c>
      <c r="G536" s="10" t="s">
        <v>10</v>
      </c>
      <c r="H536" s="11">
        <f>H537</f>
        <v>0</v>
      </c>
    </row>
    <row r="537" spans="1:8" ht="24" x14ac:dyDescent="0.25">
      <c r="A537" s="42"/>
      <c r="B537" s="44"/>
      <c r="C537" s="7" t="s">
        <v>21</v>
      </c>
      <c r="D537" s="7" t="s">
        <v>41</v>
      </c>
      <c r="E537" s="8">
        <f>0</f>
        <v>0</v>
      </c>
      <c r="F537" s="8">
        <f>0</f>
        <v>0</v>
      </c>
      <c r="G537" s="12" t="s">
        <v>10</v>
      </c>
      <c r="H537" s="13">
        <f>0</f>
        <v>0</v>
      </c>
    </row>
    <row r="538" spans="1:8" ht="18" customHeight="1" thickBot="1" x14ac:dyDescent="0.3">
      <c r="A538" s="45" t="s">
        <v>18</v>
      </c>
      <c r="B538" s="46"/>
      <c r="C538" s="46"/>
      <c r="D538" s="46"/>
      <c r="E538" s="32">
        <f>E528+E532+E536</f>
        <v>478</v>
      </c>
      <c r="F538" s="29">
        <f>F528+F532+F536</f>
        <v>421.95</v>
      </c>
      <c r="G538" s="30" t="s">
        <v>760</v>
      </c>
      <c r="H538" s="31">
        <f>H528+H532+H536</f>
        <v>421.95</v>
      </c>
    </row>
    <row r="539" spans="1:8" ht="16.899999999999999" customHeight="1" x14ac:dyDescent="0.25">
      <c r="A539" s="41">
        <v>17</v>
      </c>
      <c r="B539" s="43" t="s">
        <v>315</v>
      </c>
      <c r="C539" s="14" t="s">
        <v>8</v>
      </c>
      <c r="D539" s="14" t="s">
        <v>316</v>
      </c>
      <c r="E539" s="25">
        <f>E540+E585</f>
        <v>159573.08000000002</v>
      </c>
      <c r="F539" s="25">
        <f>F540+F585</f>
        <v>114338.89</v>
      </c>
      <c r="G539" s="26" t="s">
        <v>879</v>
      </c>
      <c r="H539" s="27">
        <f>H540+H585</f>
        <v>114338.89</v>
      </c>
    </row>
    <row r="540" spans="1:8" ht="24" x14ac:dyDescent="0.25">
      <c r="A540" s="42"/>
      <c r="B540" s="44"/>
      <c r="C540" s="7" t="s">
        <v>21</v>
      </c>
      <c r="D540" s="7" t="s">
        <v>317</v>
      </c>
      <c r="E540" s="8">
        <f>E541+E542+E543+E544+E545+E546+E547+E548+E549+E550+E551+E552+E553+E554+E555+E571+E572+E573+E574+E575+E576+E577+E578+E579+E580+E581+E582+E583+E584</f>
        <v>158588.20000000001</v>
      </c>
      <c r="F540" s="8">
        <f>F541+F542+F543+F544+F545+F546+F547+F548+F549+F550+F551+F552+F553+F554+F555+F571+F572+F573+F574+F575+F576+F577+F578+F579+F580+F581+F582+F583+F584</f>
        <v>113472.39</v>
      </c>
      <c r="G540" s="12" t="s">
        <v>879</v>
      </c>
      <c r="H540" s="13">
        <f>H541+H542+H543+H544+H545+H546+H547+H548+H549+H550+H551+H552+H553+H554+H555+H571+H572+H573+H574+H575+H576+H577+H578+H579+H580+H581+H582+H583+H584</f>
        <v>113472.39</v>
      </c>
    </row>
    <row r="541" spans="1:8" ht="24" x14ac:dyDescent="0.25">
      <c r="A541" s="42"/>
      <c r="B541" s="44"/>
      <c r="C541" s="9" t="s">
        <v>525</v>
      </c>
      <c r="D541" s="7" t="s">
        <v>318</v>
      </c>
      <c r="E541" s="8">
        <f>0</f>
        <v>0</v>
      </c>
      <c r="F541" s="8">
        <f>0</f>
        <v>0</v>
      </c>
      <c r="G541" s="12" t="s">
        <v>10</v>
      </c>
      <c r="H541" s="13">
        <f>0</f>
        <v>0</v>
      </c>
    </row>
    <row r="542" spans="1:8" ht="24" x14ac:dyDescent="0.25">
      <c r="A542" s="42"/>
      <c r="B542" s="44"/>
      <c r="C542" s="9" t="s">
        <v>529</v>
      </c>
      <c r="D542" s="7" t="s">
        <v>880</v>
      </c>
      <c r="E542" s="8">
        <f>0</f>
        <v>0</v>
      </c>
      <c r="F542" s="8">
        <f>0</f>
        <v>0</v>
      </c>
      <c r="G542" s="12" t="s">
        <v>10</v>
      </c>
      <c r="H542" s="13">
        <f>0</f>
        <v>0</v>
      </c>
    </row>
    <row r="543" spans="1:8" ht="24" x14ac:dyDescent="0.25">
      <c r="A543" s="42"/>
      <c r="B543" s="44"/>
      <c r="C543" s="9" t="s">
        <v>539</v>
      </c>
      <c r="D543" s="7" t="s">
        <v>319</v>
      </c>
      <c r="E543" s="8">
        <f>0</f>
        <v>0</v>
      </c>
      <c r="F543" s="8">
        <f>0</f>
        <v>0</v>
      </c>
      <c r="G543" s="12" t="s">
        <v>10</v>
      </c>
      <c r="H543" s="13">
        <f>0</f>
        <v>0</v>
      </c>
    </row>
    <row r="544" spans="1:8" ht="24" x14ac:dyDescent="0.25">
      <c r="A544" s="42"/>
      <c r="B544" s="44"/>
      <c r="C544" s="9" t="s">
        <v>533</v>
      </c>
      <c r="D544" s="7" t="s">
        <v>320</v>
      </c>
      <c r="E544" s="8">
        <f>489.13</f>
        <v>489.13</v>
      </c>
      <c r="F544" s="8">
        <f>489.12</f>
        <v>489.12</v>
      </c>
      <c r="G544" s="12" t="s">
        <v>550</v>
      </c>
      <c r="H544" s="13">
        <f>489.12</f>
        <v>489.12</v>
      </c>
    </row>
    <row r="545" spans="1:8" ht="24" x14ac:dyDescent="0.25">
      <c r="A545" s="42"/>
      <c r="B545" s="44"/>
      <c r="C545" s="9" t="s">
        <v>534</v>
      </c>
      <c r="D545" s="7" t="s">
        <v>321</v>
      </c>
      <c r="E545" s="8">
        <f>490</f>
        <v>490</v>
      </c>
      <c r="F545" s="8">
        <f>490</f>
        <v>490</v>
      </c>
      <c r="G545" s="12" t="s">
        <v>550</v>
      </c>
      <c r="H545" s="13">
        <f>490</f>
        <v>490</v>
      </c>
    </row>
    <row r="546" spans="1:8" ht="24" x14ac:dyDescent="0.25">
      <c r="A546" s="42"/>
      <c r="B546" s="44"/>
      <c r="C546" s="9" t="s">
        <v>552</v>
      </c>
      <c r="D546" s="7" t="s">
        <v>322</v>
      </c>
      <c r="E546" s="8">
        <f>0</f>
        <v>0</v>
      </c>
      <c r="F546" s="8">
        <f>0</f>
        <v>0</v>
      </c>
      <c r="G546" s="12" t="s">
        <v>10</v>
      </c>
      <c r="H546" s="13">
        <f>0</f>
        <v>0</v>
      </c>
    </row>
    <row r="547" spans="1:8" ht="36" x14ac:dyDescent="0.25">
      <c r="A547" s="42"/>
      <c r="B547" s="44"/>
      <c r="C547" s="9" t="s">
        <v>553</v>
      </c>
      <c r="D547" s="7" t="s">
        <v>323</v>
      </c>
      <c r="E547" s="8">
        <f>0</f>
        <v>0</v>
      </c>
      <c r="F547" s="8">
        <f>0</f>
        <v>0</v>
      </c>
      <c r="G547" s="12" t="s">
        <v>10</v>
      </c>
      <c r="H547" s="13">
        <f>0</f>
        <v>0</v>
      </c>
    </row>
    <row r="548" spans="1:8" ht="24" x14ac:dyDescent="0.25">
      <c r="A548" s="42"/>
      <c r="B548" s="44"/>
      <c r="C548" s="9" t="s">
        <v>554</v>
      </c>
      <c r="D548" s="7" t="s">
        <v>324</v>
      </c>
      <c r="E548" s="8">
        <f>0</f>
        <v>0</v>
      </c>
      <c r="F548" s="8">
        <f>0</f>
        <v>0</v>
      </c>
      <c r="G548" s="12" t="s">
        <v>10</v>
      </c>
      <c r="H548" s="13">
        <f>0</f>
        <v>0</v>
      </c>
    </row>
    <row r="549" spans="1:8" ht="24" x14ac:dyDescent="0.25">
      <c r="A549" s="42"/>
      <c r="B549" s="44"/>
      <c r="C549" s="9" t="s">
        <v>555</v>
      </c>
      <c r="D549" s="7" t="s">
        <v>325</v>
      </c>
      <c r="E549" s="8">
        <f>0</f>
        <v>0</v>
      </c>
      <c r="F549" s="8">
        <f>0</f>
        <v>0</v>
      </c>
      <c r="G549" s="12" t="s">
        <v>10</v>
      </c>
      <c r="H549" s="13">
        <f>0</f>
        <v>0</v>
      </c>
    </row>
    <row r="550" spans="1:8" ht="36" x14ac:dyDescent="0.25">
      <c r="A550" s="42"/>
      <c r="B550" s="44"/>
      <c r="C550" s="9" t="s">
        <v>606</v>
      </c>
      <c r="D550" s="7" t="s">
        <v>326</v>
      </c>
      <c r="E550" s="8">
        <f>0</f>
        <v>0</v>
      </c>
      <c r="F550" s="8">
        <f>0</f>
        <v>0</v>
      </c>
      <c r="G550" s="12" t="s">
        <v>10</v>
      </c>
      <c r="H550" s="13">
        <f>0</f>
        <v>0</v>
      </c>
    </row>
    <row r="551" spans="1:8" ht="36" x14ac:dyDescent="0.25">
      <c r="A551" s="42"/>
      <c r="B551" s="44"/>
      <c r="C551" s="9" t="s">
        <v>679</v>
      </c>
      <c r="D551" s="7" t="s">
        <v>327</v>
      </c>
      <c r="E551" s="8">
        <f>0</f>
        <v>0</v>
      </c>
      <c r="F551" s="8">
        <f>0</f>
        <v>0</v>
      </c>
      <c r="G551" s="12" t="s">
        <v>10</v>
      </c>
      <c r="H551" s="13">
        <f>0</f>
        <v>0</v>
      </c>
    </row>
    <row r="552" spans="1:8" ht="36" x14ac:dyDescent="0.25">
      <c r="A552" s="42"/>
      <c r="B552" s="44"/>
      <c r="C552" s="9" t="s">
        <v>680</v>
      </c>
      <c r="D552" s="7" t="s">
        <v>681</v>
      </c>
      <c r="E552" s="8">
        <f>750</f>
        <v>750</v>
      </c>
      <c r="F552" s="8">
        <f>750</f>
        <v>750</v>
      </c>
      <c r="G552" s="12" t="s">
        <v>550</v>
      </c>
      <c r="H552" s="13">
        <f>750</f>
        <v>750</v>
      </c>
    </row>
    <row r="553" spans="1:8" ht="36" x14ac:dyDescent="0.25">
      <c r="A553" s="42"/>
      <c r="B553" s="44"/>
      <c r="C553" s="9" t="s">
        <v>682</v>
      </c>
      <c r="D553" s="7" t="s">
        <v>490</v>
      </c>
      <c r="E553" s="8">
        <f>0</f>
        <v>0</v>
      </c>
      <c r="F553" s="8">
        <f>0</f>
        <v>0</v>
      </c>
      <c r="G553" s="12" t="s">
        <v>10</v>
      </c>
      <c r="H553" s="13">
        <f>0</f>
        <v>0</v>
      </c>
    </row>
    <row r="554" spans="1:8" x14ac:dyDescent="0.25">
      <c r="A554" s="42"/>
      <c r="B554" s="44"/>
      <c r="C554" s="9" t="s">
        <v>683</v>
      </c>
      <c r="D554" s="7" t="s">
        <v>328</v>
      </c>
      <c r="E554" s="8">
        <f>8256.18</f>
        <v>8256.18</v>
      </c>
      <c r="F554" s="8">
        <f>8256.18</f>
        <v>8256.18</v>
      </c>
      <c r="G554" s="12" t="s">
        <v>550</v>
      </c>
      <c r="H554" s="13">
        <f>8256.18</f>
        <v>8256.18</v>
      </c>
    </row>
    <row r="555" spans="1:8" x14ac:dyDescent="0.25">
      <c r="A555" s="42"/>
      <c r="B555" s="44"/>
      <c r="C555" s="9" t="s">
        <v>684</v>
      </c>
      <c r="D555" s="7" t="s">
        <v>329</v>
      </c>
      <c r="E555" s="8">
        <f>E556+E557+E558+E559+E560+E561+E562+E563+E564+E565+E566+E567+E568+E569+E570</f>
        <v>87201.73</v>
      </c>
      <c r="F555" s="8">
        <f>F556+F557+F558+F559+F560+F561+F562+F563+F564+F565+F566+F567+F568+F569+F570</f>
        <v>42085.960000000006</v>
      </c>
      <c r="G555" s="12" t="s">
        <v>881</v>
      </c>
      <c r="H555" s="13">
        <f>H556+H557+H558+H559+H560+H561+H562+H563+H564+H565+H566+H567+H568+H569+H570</f>
        <v>42085.960000000006</v>
      </c>
    </row>
    <row r="556" spans="1:8" x14ac:dyDescent="0.25">
      <c r="A556" s="42"/>
      <c r="B556" s="44"/>
      <c r="C556" s="9" t="s">
        <v>685</v>
      </c>
      <c r="D556" s="7" t="s">
        <v>330</v>
      </c>
      <c r="E556" s="8">
        <f>31019.4+45115.77</f>
        <v>76135.17</v>
      </c>
      <c r="F556" s="8">
        <f>31019.4</f>
        <v>31019.4</v>
      </c>
      <c r="G556" s="12" t="s">
        <v>671</v>
      </c>
      <c r="H556" s="13">
        <f>31019.4</f>
        <v>31019.4</v>
      </c>
    </row>
    <row r="557" spans="1:8" ht="24" x14ac:dyDescent="0.25">
      <c r="A557" s="42"/>
      <c r="B557" s="44"/>
      <c r="C557" s="9" t="s">
        <v>686</v>
      </c>
      <c r="D557" s="7" t="s">
        <v>331</v>
      </c>
      <c r="E557" s="8">
        <f>250</f>
        <v>250</v>
      </c>
      <c r="F557" s="8">
        <f>250</f>
        <v>250</v>
      </c>
      <c r="G557" s="12" t="s">
        <v>550</v>
      </c>
      <c r="H557" s="13">
        <f>250</f>
        <v>250</v>
      </c>
    </row>
    <row r="558" spans="1:8" ht="36" x14ac:dyDescent="0.25">
      <c r="A558" s="42"/>
      <c r="B558" s="44"/>
      <c r="C558" s="9" t="s">
        <v>687</v>
      </c>
      <c r="D558" s="7" t="s">
        <v>332</v>
      </c>
      <c r="E558" s="8">
        <f>0</f>
        <v>0</v>
      </c>
      <c r="F558" s="8">
        <f>0</f>
        <v>0</v>
      </c>
      <c r="G558" s="12" t="s">
        <v>10</v>
      </c>
      <c r="H558" s="13">
        <f>0</f>
        <v>0</v>
      </c>
    </row>
    <row r="559" spans="1:8" ht="24" x14ac:dyDescent="0.25">
      <c r="A559" s="42"/>
      <c r="B559" s="44"/>
      <c r="C559" s="9" t="s">
        <v>688</v>
      </c>
      <c r="D559" s="7" t="s">
        <v>333</v>
      </c>
      <c r="E559" s="8">
        <f>0</f>
        <v>0</v>
      </c>
      <c r="F559" s="8">
        <f>0</f>
        <v>0</v>
      </c>
      <c r="G559" s="12" t="s">
        <v>10</v>
      </c>
      <c r="H559" s="13">
        <f>0</f>
        <v>0</v>
      </c>
    </row>
    <row r="560" spans="1:8" ht="24" x14ac:dyDescent="0.25">
      <c r="A560" s="42"/>
      <c r="B560" s="44"/>
      <c r="C560" s="9" t="s">
        <v>689</v>
      </c>
      <c r="D560" s="7" t="s">
        <v>882</v>
      </c>
      <c r="E560" s="8">
        <f>0</f>
        <v>0</v>
      </c>
      <c r="F560" s="8">
        <f>0</f>
        <v>0</v>
      </c>
      <c r="G560" s="12" t="s">
        <v>10</v>
      </c>
      <c r="H560" s="13">
        <f>0</f>
        <v>0</v>
      </c>
    </row>
    <row r="561" spans="1:8" ht="24" x14ac:dyDescent="0.25">
      <c r="A561" s="42"/>
      <c r="B561" s="44"/>
      <c r="C561" s="9" t="s">
        <v>690</v>
      </c>
      <c r="D561" s="7" t="s">
        <v>883</v>
      </c>
      <c r="E561" s="8">
        <f>1158.81</f>
        <v>1158.81</v>
      </c>
      <c r="F561" s="8">
        <f>1158.81</f>
        <v>1158.81</v>
      </c>
      <c r="G561" s="12" t="s">
        <v>550</v>
      </c>
      <c r="H561" s="13">
        <f>1158.81</f>
        <v>1158.81</v>
      </c>
    </row>
    <row r="562" spans="1:8" ht="36" x14ac:dyDescent="0.25">
      <c r="A562" s="42"/>
      <c r="B562" s="44"/>
      <c r="C562" s="9" t="s">
        <v>691</v>
      </c>
      <c r="D562" s="7" t="s">
        <v>334</v>
      </c>
      <c r="E562" s="8">
        <f>0</f>
        <v>0</v>
      </c>
      <c r="F562" s="8">
        <f>0</f>
        <v>0</v>
      </c>
      <c r="G562" s="12" t="s">
        <v>10</v>
      </c>
      <c r="H562" s="13">
        <f>0</f>
        <v>0</v>
      </c>
    </row>
    <row r="563" spans="1:8" ht="24" x14ac:dyDescent="0.25">
      <c r="A563" s="42"/>
      <c r="B563" s="44"/>
      <c r="C563" s="9" t="s">
        <v>692</v>
      </c>
      <c r="D563" s="7" t="s">
        <v>884</v>
      </c>
      <c r="E563" s="8">
        <f>0</f>
        <v>0</v>
      </c>
      <c r="F563" s="8">
        <f>0</f>
        <v>0</v>
      </c>
      <c r="G563" s="12" t="s">
        <v>10</v>
      </c>
      <c r="H563" s="13">
        <f>0</f>
        <v>0</v>
      </c>
    </row>
    <row r="564" spans="1:8" ht="24" x14ac:dyDescent="0.25">
      <c r="A564" s="42"/>
      <c r="B564" s="44"/>
      <c r="C564" s="9" t="s">
        <v>693</v>
      </c>
      <c r="D564" s="7" t="s">
        <v>335</v>
      </c>
      <c r="E564" s="8">
        <f>0</f>
        <v>0</v>
      </c>
      <c r="F564" s="8">
        <f>0</f>
        <v>0</v>
      </c>
      <c r="G564" s="12" t="s">
        <v>10</v>
      </c>
      <c r="H564" s="13">
        <f>0</f>
        <v>0</v>
      </c>
    </row>
    <row r="565" spans="1:8" ht="36" x14ac:dyDescent="0.25">
      <c r="A565" s="42"/>
      <c r="B565" s="44"/>
      <c r="C565" s="9" t="s">
        <v>694</v>
      </c>
      <c r="D565" s="7" t="s">
        <v>695</v>
      </c>
      <c r="E565" s="8">
        <f>3492.39</f>
        <v>3492.39</v>
      </c>
      <c r="F565" s="8">
        <f>3492.39</f>
        <v>3492.39</v>
      </c>
      <c r="G565" s="12" t="s">
        <v>550</v>
      </c>
      <c r="H565" s="13">
        <f>3492.39</f>
        <v>3492.39</v>
      </c>
    </row>
    <row r="566" spans="1:8" ht="36" x14ac:dyDescent="0.25">
      <c r="A566" s="42"/>
      <c r="B566" s="44"/>
      <c r="C566" s="9" t="s">
        <v>696</v>
      </c>
      <c r="D566" s="7" t="s">
        <v>336</v>
      </c>
      <c r="E566" s="8">
        <f>0</f>
        <v>0</v>
      </c>
      <c r="F566" s="8">
        <f>0</f>
        <v>0</v>
      </c>
      <c r="G566" s="12" t="s">
        <v>10</v>
      </c>
      <c r="H566" s="13">
        <f>0</f>
        <v>0</v>
      </c>
    </row>
    <row r="567" spans="1:8" ht="24" x14ac:dyDescent="0.25">
      <c r="A567" s="42"/>
      <c r="B567" s="44"/>
      <c r="C567" s="9" t="s">
        <v>697</v>
      </c>
      <c r="D567" s="7" t="s">
        <v>381</v>
      </c>
      <c r="E567" s="8">
        <f>5760</f>
        <v>5760</v>
      </c>
      <c r="F567" s="8">
        <f>5760</f>
        <v>5760</v>
      </c>
      <c r="G567" s="12" t="s">
        <v>550</v>
      </c>
      <c r="H567" s="13">
        <f>5760</f>
        <v>5760</v>
      </c>
    </row>
    <row r="568" spans="1:8" x14ac:dyDescent="0.25">
      <c r="A568" s="42"/>
      <c r="B568" s="44"/>
      <c r="C568" s="9" t="s">
        <v>698</v>
      </c>
      <c r="D568" s="7" t="s">
        <v>885</v>
      </c>
      <c r="E568" s="8">
        <f>85</f>
        <v>85</v>
      </c>
      <c r="F568" s="8">
        <f>85</f>
        <v>85</v>
      </c>
      <c r="G568" s="12" t="s">
        <v>550</v>
      </c>
      <c r="H568" s="13">
        <f>85</f>
        <v>85</v>
      </c>
    </row>
    <row r="569" spans="1:8" ht="24" x14ac:dyDescent="0.25">
      <c r="A569" s="42"/>
      <c r="B569" s="44"/>
      <c r="C569" s="9" t="s">
        <v>699</v>
      </c>
      <c r="D569" s="7" t="s">
        <v>491</v>
      </c>
      <c r="E569" s="8">
        <f>320.36</f>
        <v>320.36</v>
      </c>
      <c r="F569" s="8">
        <f>320.36</f>
        <v>320.36</v>
      </c>
      <c r="G569" s="12" t="s">
        <v>550</v>
      </c>
      <c r="H569" s="13">
        <f>320.36</f>
        <v>320.36</v>
      </c>
    </row>
    <row r="570" spans="1:8" ht="24" x14ac:dyDescent="0.25">
      <c r="A570" s="42"/>
      <c r="B570" s="44"/>
      <c r="C570" s="9" t="s">
        <v>886</v>
      </c>
      <c r="D570" s="7" t="s">
        <v>887</v>
      </c>
      <c r="E570" s="8">
        <f>0</f>
        <v>0</v>
      </c>
      <c r="F570" s="8">
        <f>0</f>
        <v>0</v>
      </c>
      <c r="G570" s="12" t="s">
        <v>10</v>
      </c>
      <c r="H570" s="13">
        <f>0</f>
        <v>0</v>
      </c>
    </row>
    <row r="571" spans="1:8" x14ac:dyDescent="0.25">
      <c r="A571" s="42"/>
      <c r="B571" s="44"/>
      <c r="C571" s="9" t="s">
        <v>700</v>
      </c>
      <c r="D571" s="7" t="s">
        <v>337</v>
      </c>
      <c r="E571" s="8">
        <f>30830</f>
        <v>30830</v>
      </c>
      <c r="F571" s="8">
        <f>30830</f>
        <v>30830</v>
      </c>
      <c r="G571" s="12" t="s">
        <v>550</v>
      </c>
      <c r="H571" s="13">
        <f>30830</f>
        <v>30830</v>
      </c>
    </row>
    <row r="572" spans="1:8" ht="24" x14ac:dyDescent="0.25">
      <c r="A572" s="42"/>
      <c r="B572" s="44"/>
      <c r="C572" s="9" t="s">
        <v>701</v>
      </c>
      <c r="D572" s="7" t="s">
        <v>338</v>
      </c>
      <c r="E572" s="8">
        <f>0</f>
        <v>0</v>
      </c>
      <c r="F572" s="8">
        <f>0</f>
        <v>0</v>
      </c>
      <c r="G572" s="12" t="s">
        <v>10</v>
      </c>
      <c r="H572" s="13">
        <f>0</f>
        <v>0</v>
      </c>
    </row>
    <row r="573" spans="1:8" ht="36" x14ac:dyDescent="0.25">
      <c r="A573" s="42"/>
      <c r="B573" s="44"/>
      <c r="C573" s="9" t="s">
        <v>888</v>
      </c>
      <c r="D573" s="7" t="s">
        <v>889</v>
      </c>
      <c r="E573" s="8">
        <f>0</f>
        <v>0</v>
      </c>
      <c r="F573" s="8">
        <f>0</f>
        <v>0</v>
      </c>
      <c r="G573" s="12" t="s">
        <v>10</v>
      </c>
      <c r="H573" s="13">
        <f>0</f>
        <v>0</v>
      </c>
    </row>
    <row r="574" spans="1:8" ht="24" x14ac:dyDescent="0.25">
      <c r="A574" s="42"/>
      <c r="B574" s="44"/>
      <c r="C574" s="9" t="s">
        <v>890</v>
      </c>
      <c r="D574" s="7" t="s">
        <v>891</v>
      </c>
      <c r="E574" s="8">
        <f>0</f>
        <v>0</v>
      </c>
      <c r="F574" s="8">
        <f>0</f>
        <v>0</v>
      </c>
      <c r="G574" s="12" t="s">
        <v>10</v>
      </c>
      <c r="H574" s="13">
        <f>0</f>
        <v>0</v>
      </c>
    </row>
    <row r="575" spans="1:8" x14ac:dyDescent="0.25">
      <c r="A575" s="42"/>
      <c r="B575" s="44"/>
      <c r="C575" s="9" t="s">
        <v>702</v>
      </c>
      <c r="D575" s="7" t="s">
        <v>492</v>
      </c>
      <c r="E575" s="8">
        <f>4430.05+13003.16</f>
        <v>17433.21</v>
      </c>
      <c r="F575" s="8">
        <f>4430.05+13003.16</f>
        <v>17433.21</v>
      </c>
      <c r="G575" s="12" t="s">
        <v>550</v>
      </c>
      <c r="H575" s="13">
        <f>4430.05+13003.16</f>
        <v>17433.21</v>
      </c>
    </row>
    <row r="576" spans="1:8" ht="36" x14ac:dyDescent="0.25">
      <c r="A576" s="42"/>
      <c r="B576" s="44"/>
      <c r="C576" s="9" t="s">
        <v>892</v>
      </c>
      <c r="D576" s="7" t="s">
        <v>893</v>
      </c>
      <c r="E576" s="8">
        <f>0</f>
        <v>0</v>
      </c>
      <c r="F576" s="8">
        <f>0</f>
        <v>0</v>
      </c>
      <c r="G576" s="12" t="s">
        <v>10</v>
      </c>
      <c r="H576" s="13">
        <f>0</f>
        <v>0</v>
      </c>
    </row>
    <row r="577" spans="1:8" ht="36" x14ac:dyDescent="0.25">
      <c r="A577" s="42"/>
      <c r="B577" s="44"/>
      <c r="C577" s="9" t="s">
        <v>894</v>
      </c>
      <c r="D577" s="7" t="s">
        <v>895</v>
      </c>
      <c r="E577" s="8">
        <f>0</f>
        <v>0</v>
      </c>
      <c r="F577" s="8">
        <f>0</f>
        <v>0</v>
      </c>
      <c r="G577" s="12" t="s">
        <v>10</v>
      </c>
      <c r="H577" s="13">
        <f>0</f>
        <v>0</v>
      </c>
    </row>
    <row r="578" spans="1:8" ht="24" x14ac:dyDescent="0.25">
      <c r="A578" s="42"/>
      <c r="B578" s="44"/>
      <c r="C578" s="9" t="s">
        <v>896</v>
      </c>
      <c r="D578" s="7" t="s">
        <v>897</v>
      </c>
      <c r="E578" s="8">
        <f>0</f>
        <v>0</v>
      </c>
      <c r="F578" s="8">
        <f>0</f>
        <v>0</v>
      </c>
      <c r="G578" s="12" t="s">
        <v>10</v>
      </c>
      <c r="H578" s="13">
        <f>0</f>
        <v>0</v>
      </c>
    </row>
    <row r="579" spans="1:8" x14ac:dyDescent="0.25">
      <c r="A579" s="42"/>
      <c r="B579" s="44"/>
      <c r="C579" s="9" t="s">
        <v>703</v>
      </c>
      <c r="D579" s="7" t="s">
        <v>704</v>
      </c>
      <c r="E579" s="8">
        <f>5737.95</f>
        <v>5737.95</v>
      </c>
      <c r="F579" s="8">
        <f>5737.92</f>
        <v>5737.92</v>
      </c>
      <c r="G579" s="12" t="s">
        <v>550</v>
      </c>
      <c r="H579" s="13">
        <f>5737.92</f>
        <v>5737.92</v>
      </c>
    </row>
    <row r="580" spans="1:8" ht="24" x14ac:dyDescent="0.25">
      <c r="A580" s="42"/>
      <c r="B580" s="44"/>
      <c r="C580" s="9" t="s">
        <v>898</v>
      </c>
      <c r="D580" s="7" t="s">
        <v>899</v>
      </c>
      <c r="E580" s="8">
        <f>0</f>
        <v>0</v>
      </c>
      <c r="F580" s="8">
        <f>0</f>
        <v>0</v>
      </c>
      <c r="G580" s="12" t="s">
        <v>10</v>
      </c>
      <c r="H580" s="13">
        <f>0</f>
        <v>0</v>
      </c>
    </row>
    <row r="581" spans="1:8" ht="24" x14ac:dyDescent="0.25">
      <c r="A581" s="42"/>
      <c r="B581" s="44"/>
      <c r="C581" s="9" t="s">
        <v>900</v>
      </c>
      <c r="D581" s="7" t="s">
        <v>901</v>
      </c>
      <c r="E581" s="8">
        <f>4800+2600</f>
        <v>7400</v>
      </c>
      <c r="F581" s="8">
        <f>4800+2600</f>
        <v>7400</v>
      </c>
      <c r="G581" s="12" t="s">
        <v>550</v>
      </c>
      <c r="H581" s="13">
        <f>4800+2600</f>
        <v>7400</v>
      </c>
    </row>
    <row r="582" spans="1:8" ht="36" x14ac:dyDescent="0.25">
      <c r="A582" s="42"/>
      <c r="B582" s="44"/>
      <c r="C582" s="9" t="s">
        <v>902</v>
      </c>
      <c r="D582" s="7" t="s">
        <v>903</v>
      </c>
      <c r="E582" s="8">
        <f>0</f>
        <v>0</v>
      </c>
      <c r="F582" s="8">
        <f>0</f>
        <v>0</v>
      </c>
      <c r="G582" s="12" t="s">
        <v>10</v>
      </c>
      <c r="H582" s="13">
        <f>0</f>
        <v>0</v>
      </c>
    </row>
    <row r="583" spans="1:8" ht="48" x14ac:dyDescent="0.25">
      <c r="A583" s="42"/>
      <c r="B583" s="44"/>
      <c r="C583" s="9" t="s">
        <v>904</v>
      </c>
      <c r="D583" s="7" t="s">
        <v>905</v>
      </c>
      <c r="E583" s="8">
        <f>0</f>
        <v>0</v>
      </c>
      <c r="F583" s="8">
        <f>0</f>
        <v>0</v>
      </c>
      <c r="G583" s="12" t="s">
        <v>10</v>
      </c>
      <c r="H583" s="13">
        <f>0</f>
        <v>0</v>
      </c>
    </row>
    <row r="584" spans="1:8" ht="24" x14ac:dyDescent="0.25">
      <c r="A584" s="42"/>
      <c r="B584" s="44"/>
      <c r="C584" s="9" t="s">
        <v>906</v>
      </c>
      <c r="D584" s="7" t="s">
        <v>907</v>
      </c>
      <c r="E584" s="8">
        <f>0</f>
        <v>0</v>
      </c>
      <c r="F584" s="8">
        <f>0</f>
        <v>0</v>
      </c>
      <c r="G584" s="12" t="s">
        <v>10</v>
      </c>
      <c r="H584" s="13">
        <f>0</f>
        <v>0</v>
      </c>
    </row>
    <row r="585" spans="1:8" x14ac:dyDescent="0.25">
      <c r="A585" s="42"/>
      <c r="B585" s="44"/>
      <c r="C585" s="7" t="s">
        <v>339</v>
      </c>
      <c r="D585" s="7" t="s">
        <v>340</v>
      </c>
      <c r="E585" s="8">
        <f>E586+E587+E590+E591+E592+E594+E597+E598+E599+E600+E601+E602+E603+E604</f>
        <v>984.88</v>
      </c>
      <c r="F585" s="8">
        <f>F586+F587+F590+F591+F592+F594+F597+F598+F599+F600+F601+F602+F603+F604</f>
        <v>866.5</v>
      </c>
      <c r="G585" s="12" t="s">
        <v>908</v>
      </c>
      <c r="H585" s="13">
        <f>H586+H587+H590+H591+H592+H594+H597+H598+H599+H600+H601+H602+H603+H604</f>
        <v>866.5</v>
      </c>
    </row>
    <row r="586" spans="1:8" ht="24" x14ac:dyDescent="0.25">
      <c r="A586" s="42"/>
      <c r="B586" s="44"/>
      <c r="C586" s="9" t="s">
        <v>705</v>
      </c>
      <c r="D586" s="7" t="s">
        <v>341</v>
      </c>
      <c r="E586" s="8">
        <f>0</f>
        <v>0</v>
      </c>
      <c r="F586" s="8">
        <f>0</f>
        <v>0</v>
      </c>
      <c r="G586" s="12" t="s">
        <v>10</v>
      </c>
      <c r="H586" s="13">
        <f>0</f>
        <v>0</v>
      </c>
    </row>
    <row r="587" spans="1:8" ht="24" x14ac:dyDescent="0.25">
      <c r="A587" s="42"/>
      <c r="B587" s="44"/>
      <c r="C587" s="9" t="s">
        <v>706</v>
      </c>
      <c r="D587" s="7" t="s">
        <v>342</v>
      </c>
      <c r="E587" s="8">
        <f>E588+E589</f>
        <v>0</v>
      </c>
      <c r="F587" s="8">
        <f>F588+F589</f>
        <v>0</v>
      </c>
      <c r="G587" s="12" t="s">
        <v>10</v>
      </c>
      <c r="H587" s="13">
        <f>H588+H589</f>
        <v>0</v>
      </c>
    </row>
    <row r="588" spans="1:8" ht="24" x14ac:dyDescent="0.25">
      <c r="A588" s="42"/>
      <c r="B588" s="44"/>
      <c r="C588" s="9" t="s">
        <v>707</v>
      </c>
      <c r="D588" s="7" t="s">
        <v>382</v>
      </c>
      <c r="E588" s="8">
        <f>0</f>
        <v>0</v>
      </c>
      <c r="F588" s="8">
        <f>0</f>
        <v>0</v>
      </c>
      <c r="G588" s="12" t="s">
        <v>10</v>
      </c>
      <c r="H588" s="13">
        <f>0</f>
        <v>0</v>
      </c>
    </row>
    <row r="589" spans="1:8" ht="24" x14ac:dyDescent="0.25">
      <c r="A589" s="42"/>
      <c r="B589" s="44"/>
      <c r="C589" s="9" t="s">
        <v>708</v>
      </c>
      <c r="D589" s="7" t="s">
        <v>909</v>
      </c>
      <c r="E589" s="8">
        <f>0</f>
        <v>0</v>
      </c>
      <c r="F589" s="8">
        <f>0</f>
        <v>0</v>
      </c>
      <c r="G589" s="12" t="s">
        <v>10</v>
      </c>
      <c r="H589" s="13">
        <f>0</f>
        <v>0</v>
      </c>
    </row>
    <row r="590" spans="1:8" ht="36" x14ac:dyDescent="0.25">
      <c r="A590" s="42"/>
      <c r="B590" s="44"/>
      <c r="C590" s="9" t="s">
        <v>709</v>
      </c>
      <c r="D590" s="7" t="s">
        <v>343</v>
      </c>
      <c r="E590" s="8">
        <f>0</f>
        <v>0</v>
      </c>
      <c r="F590" s="8">
        <f>0</f>
        <v>0</v>
      </c>
      <c r="G590" s="12" t="s">
        <v>10</v>
      </c>
      <c r="H590" s="13">
        <f>0</f>
        <v>0</v>
      </c>
    </row>
    <row r="591" spans="1:8" ht="36" x14ac:dyDescent="0.25">
      <c r="A591" s="42"/>
      <c r="B591" s="44"/>
      <c r="C591" s="9" t="s">
        <v>710</v>
      </c>
      <c r="D591" s="7" t="s">
        <v>344</v>
      </c>
      <c r="E591" s="8">
        <f>0</f>
        <v>0</v>
      </c>
      <c r="F591" s="8">
        <f>0</f>
        <v>0</v>
      </c>
      <c r="G591" s="12" t="s">
        <v>10</v>
      </c>
      <c r="H591" s="13">
        <f>0</f>
        <v>0</v>
      </c>
    </row>
    <row r="592" spans="1:8" ht="36" x14ac:dyDescent="0.25">
      <c r="A592" s="42"/>
      <c r="B592" s="44"/>
      <c r="C592" s="9" t="s">
        <v>711</v>
      </c>
      <c r="D592" s="7" t="s">
        <v>345</v>
      </c>
      <c r="E592" s="8">
        <f>E593</f>
        <v>0</v>
      </c>
      <c r="F592" s="8">
        <f>F593</f>
        <v>0</v>
      </c>
      <c r="G592" s="12" t="s">
        <v>10</v>
      </c>
      <c r="H592" s="13">
        <f>H593</f>
        <v>0</v>
      </c>
    </row>
    <row r="593" spans="1:8" ht="24" x14ac:dyDescent="0.25">
      <c r="A593" s="42"/>
      <c r="B593" s="44"/>
      <c r="C593" s="9" t="s">
        <v>712</v>
      </c>
      <c r="D593" s="7" t="s">
        <v>457</v>
      </c>
      <c r="E593" s="8">
        <f>0</f>
        <v>0</v>
      </c>
      <c r="F593" s="8">
        <f>0</f>
        <v>0</v>
      </c>
      <c r="G593" s="12" t="s">
        <v>10</v>
      </c>
      <c r="H593" s="13">
        <f>0</f>
        <v>0</v>
      </c>
    </row>
    <row r="594" spans="1:8" x14ac:dyDescent="0.25">
      <c r="A594" s="42"/>
      <c r="B594" s="44"/>
      <c r="C594" s="9" t="s">
        <v>713</v>
      </c>
      <c r="D594" s="7" t="s">
        <v>346</v>
      </c>
      <c r="E594" s="8">
        <f>E595+E596</f>
        <v>984.88</v>
      </c>
      <c r="F594" s="8">
        <f>F595+F596</f>
        <v>866.5</v>
      </c>
      <c r="G594" s="12" t="s">
        <v>908</v>
      </c>
      <c r="H594" s="13">
        <f>H595+H596</f>
        <v>866.5</v>
      </c>
    </row>
    <row r="595" spans="1:8" ht="36" x14ac:dyDescent="0.25">
      <c r="A595" s="42"/>
      <c r="B595" s="44"/>
      <c r="C595" s="9" t="s">
        <v>714</v>
      </c>
      <c r="D595" s="7" t="s">
        <v>383</v>
      </c>
      <c r="E595" s="8">
        <f>217.66+767.22</f>
        <v>984.88</v>
      </c>
      <c r="F595" s="8">
        <f>199.29+667.21</f>
        <v>866.5</v>
      </c>
      <c r="G595" s="12" t="s">
        <v>908</v>
      </c>
      <c r="H595" s="13">
        <f>199.29+667.21</f>
        <v>866.5</v>
      </c>
    </row>
    <row r="596" spans="1:8" ht="24" x14ac:dyDescent="0.25">
      <c r="A596" s="42"/>
      <c r="B596" s="44"/>
      <c r="C596" s="9" t="s">
        <v>715</v>
      </c>
      <c r="D596" s="7" t="s">
        <v>384</v>
      </c>
      <c r="E596" s="8">
        <f>0</f>
        <v>0</v>
      </c>
      <c r="F596" s="8">
        <f>0</f>
        <v>0</v>
      </c>
      <c r="G596" s="12" t="s">
        <v>10</v>
      </c>
      <c r="H596" s="13">
        <f>0</f>
        <v>0</v>
      </c>
    </row>
    <row r="597" spans="1:8" ht="24" x14ac:dyDescent="0.25">
      <c r="A597" s="42"/>
      <c r="B597" s="44"/>
      <c r="C597" s="9" t="s">
        <v>716</v>
      </c>
      <c r="D597" s="7" t="s">
        <v>717</v>
      </c>
      <c r="E597" s="8">
        <f>0</f>
        <v>0</v>
      </c>
      <c r="F597" s="8">
        <f>0</f>
        <v>0</v>
      </c>
      <c r="G597" s="12" t="s">
        <v>10</v>
      </c>
      <c r="H597" s="13">
        <f>0</f>
        <v>0</v>
      </c>
    </row>
    <row r="598" spans="1:8" ht="24" x14ac:dyDescent="0.25">
      <c r="A598" s="42"/>
      <c r="B598" s="44"/>
      <c r="C598" s="9" t="s">
        <v>718</v>
      </c>
      <c r="D598" s="7" t="s">
        <v>347</v>
      </c>
      <c r="E598" s="8">
        <f>0</f>
        <v>0</v>
      </c>
      <c r="F598" s="8">
        <f>0</f>
        <v>0</v>
      </c>
      <c r="G598" s="12" t="s">
        <v>10</v>
      </c>
      <c r="H598" s="13">
        <f>0</f>
        <v>0</v>
      </c>
    </row>
    <row r="599" spans="1:8" ht="24" x14ac:dyDescent="0.25">
      <c r="A599" s="42"/>
      <c r="B599" s="44"/>
      <c r="C599" s="9" t="s">
        <v>719</v>
      </c>
      <c r="D599" s="7" t="s">
        <v>348</v>
      </c>
      <c r="E599" s="8">
        <f>0</f>
        <v>0</v>
      </c>
      <c r="F599" s="8">
        <f>0</f>
        <v>0</v>
      </c>
      <c r="G599" s="12" t="s">
        <v>10</v>
      </c>
      <c r="H599" s="13">
        <f>0</f>
        <v>0</v>
      </c>
    </row>
    <row r="600" spans="1:8" ht="24" x14ac:dyDescent="0.25">
      <c r="A600" s="42"/>
      <c r="B600" s="44"/>
      <c r="C600" s="9" t="s">
        <v>910</v>
      </c>
      <c r="D600" s="7" t="s">
        <v>911</v>
      </c>
      <c r="E600" s="8">
        <f>0</f>
        <v>0</v>
      </c>
      <c r="F600" s="8">
        <f>0</f>
        <v>0</v>
      </c>
      <c r="G600" s="12" t="s">
        <v>10</v>
      </c>
      <c r="H600" s="13">
        <f>0</f>
        <v>0</v>
      </c>
    </row>
    <row r="601" spans="1:8" ht="24" x14ac:dyDescent="0.25">
      <c r="A601" s="42"/>
      <c r="B601" s="44"/>
      <c r="C601" s="9" t="s">
        <v>720</v>
      </c>
      <c r="D601" s="7" t="s">
        <v>349</v>
      </c>
      <c r="E601" s="8">
        <f>0</f>
        <v>0</v>
      </c>
      <c r="F601" s="8">
        <f>0</f>
        <v>0</v>
      </c>
      <c r="G601" s="12" t="s">
        <v>10</v>
      </c>
      <c r="H601" s="13">
        <f>0</f>
        <v>0</v>
      </c>
    </row>
    <row r="602" spans="1:8" ht="36" x14ac:dyDescent="0.25">
      <c r="A602" s="42"/>
      <c r="B602" s="44"/>
      <c r="C602" s="9" t="s">
        <v>721</v>
      </c>
      <c r="D602" s="7" t="s">
        <v>350</v>
      </c>
      <c r="E602" s="8">
        <f>0</f>
        <v>0</v>
      </c>
      <c r="F602" s="8">
        <f>0</f>
        <v>0</v>
      </c>
      <c r="G602" s="12" t="s">
        <v>10</v>
      </c>
      <c r="H602" s="13">
        <f>0</f>
        <v>0</v>
      </c>
    </row>
    <row r="603" spans="1:8" ht="48" x14ac:dyDescent="0.25">
      <c r="A603" s="42"/>
      <c r="B603" s="44"/>
      <c r="C603" s="9" t="s">
        <v>722</v>
      </c>
      <c r="D603" s="7" t="s">
        <v>458</v>
      </c>
      <c r="E603" s="8">
        <f>0</f>
        <v>0</v>
      </c>
      <c r="F603" s="8">
        <f>0</f>
        <v>0</v>
      </c>
      <c r="G603" s="12" t="s">
        <v>10</v>
      </c>
      <c r="H603" s="13">
        <f>0</f>
        <v>0</v>
      </c>
    </row>
    <row r="604" spans="1:8" ht="24" x14ac:dyDescent="0.25">
      <c r="A604" s="42"/>
      <c r="B604" s="44"/>
      <c r="C604" s="9" t="s">
        <v>912</v>
      </c>
      <c r="D604" s="7" t="s">
        <v>913</v>
      </c>
      <c r="E604" s="8">
        <f>0</f>
        <v>0</v>
      </c>
      <c r="F604" s="8">
        <f>0</f>
        <v>0</v>
      </c>
      <c r="G604" s="12" t="s">
        <v>10</v>
      </c>
      <c r="H604" s="13">
        <f>0</f>
        <v>0</v>
      </c>
    </row>
    <row r="605" spans="1:8" ht="18" customHeight="1" x14ac:dyDescent="0.25">
      <c r="A605" s="42"/>
      <c r="B605" s="44"/>
      <c r="C605" s="5" t="s">
        <v>20</v>
      </c>
      <c r="D605" s="5" t="s">
        <v>351</v>
      </c>
      <c r="E605" s="6">
        <f>E606</f>
        <v>137529.42000000001</v>
      </c>
      <c r="F605" s="6">
        <f>F606</f>
        <v>136422.28</v>
      </c>
      <c r="G605" s="10" t="s">
        <v>824</v>
      </c>
      <c r="H605" s="11">
        <f>H606</f>
        <v>136422.28</v>
      </c>
    </row>
    <row r="606" spans="1:8" ht="24" x14ac:dyDescent="0.25">
      <c r="A606" s="42"/>
      <c r="B606" s="44"/>
      <c r="C606" s="7" t="s">
        <v>21</v>
      </c>
      <c r="D606" s="7" t="s">
        <v>352</v>
      </c>
      <c r="E606" s="8">
        <f>E607+E608+E609+E610+E618+E619+E620</f>
        <v>137529.42000000001</v>
      </c>
      <c r="F606" s="8">
        <f>F607+F608+F609+F610+F618+F619+F620</f>
        <v>136422.28</v>
      </c>
      <c r="G606" s="12" t="s">
        <v>824</v>
      </c>
      <c r="H606" s="13">
        <f>H607+H608+H609+H610+H618+H619+H620</f>
        <v>136422.28</v>
      </c>
    </row>
    <row r="607" spans="1:8" ht="24" x14ac:dyDescent="0.25">
      <c r="A607" s="42"/>
      <c r="B607" s="44"/>
      <c r="C607" s="9" t="s">
        <v>525</v>
      </c>
      <c r="D607" s="7" t="s">
        <v>353</v>
      </c>
      <c r="E607" s="8">
        <f>198</f>
        <v>198</v>
      </c>
      <c r="F607" s="8">
        <f>198</f>
        <v>198</v>
      </c>
      <c r="G607" s="12" t="s">
        <v>550</v>
      </c>
      <c r="H607" s="13">
        <f>198</f>
        <v>198</v>
      </c>
    </row>
    <row r="608" spans="1:8" x14ac:dyDescent="0.25">
      <c r="A608" s="42"/>
      <c r="B608" s="44"/>
      <c r="C608" s="9" t="s">
        <v>529</v>
      </c>
      <c r="D608" s="7" t="s">
        <v>354</v>
      </c>
      <c r="E608" s="8">
        <f>18145</f>
        <v>18145</v>
      </c>
      <c r="F608" s="8">
        <f>17037.87</f>
        <v>17037.87</v>
      </c>
      <c r="G608" s="12" t="s">
        <v>914</v>
      </c>
      <c r="H608" s="13">
        <f>17037.87</f>
        <v>17037.87</v>
      </c>
    </row>
    <row r="609" spans="1:8" ht="24" x14ac:dyDescent="0.25">
      <c r="A609" s="42"/>
      <c r="B609" s="44"/>
      <c r="C609" s="9" t="s">
        <v>539</v>
      </c>
      <c r="D609" s="7" t="s">
        <v>355</v>
      </c>
      <c r="E609" s="8">
        <f>0</f>
        <v>0</v>
      </c>
      <c r="F609" s="8">
        <f>0</f>
        <v>0</v>
      </c>
      <c r="G609" s="12" t="s">
        <v>10</v>
      </c>
      <c r="H609" s="13">
        <f>0</f>
        <v>0</v>
      </c>
    </row>
    <row r="610" spans="1:8" ht="24" x14ac:dyDescent="0.25">
      <c r="A610" s="42"/>
      <c r="B610" s="44"/>
      <c r="C610" s="9" t="s">
        <v>533</v>
      </c>
      <c r="D610" s="7" t="s">
        <v>356</v>
      </c>
      <c r="E610" s="8">
        <f>E611+E612+E613+E614+E615+E616+E617</f>
        <v>116916.91</v>
      </c>
      <c r="F610" s="8">
        <f>F611+F612+F613+F614+F615+F616+F617</f>
        <v>116916.91</v>
      </c>
      <c r="G610" s="12" t="s">
        <v>550</v>
      </c>
      <c r="H610" s="13">
        <f>H611+H612+H613+H614+H615+H616+H617</f>
        <v>116916.91</v>
      </c>
    </row>
    <row r="611" spans="1:8" ht="24" x14ac:dyDescent="0.25">
      <c r="A611" s="42"/>
      <c r="B611" s="44"/>
      <c r="C611" s="9" t="s">
        <v>723</v>
      </c>
      <c r="D611" s="7" t="s">
        <v>459</v>
      </c>
      <c r="E611" s="8">
        <f>98397.39</f>
        <v>98397.39</v>
      </c>
      <c r="F611" s="8">
        <f>98397.39</f>
        <v>98397.39</v>
      </c>
      <c r="G611" s="12" t="s">
        <v>550</v>
      </c>
      <c r="H611" s="13">
        <f>98397.39</f>
        <v>98397.39</v>
      </c>
    </row>
    <row r="612" spans="1:8" ht="24" x14ac:dyDescent="0.25">
      <c r="A612" s="42"/>
      <c r="B612" s="44"/>
      <c r="C612" s="9" t="s">
        <v>724</v>
      </c>
      <c r="D612" s="7" t="s">
        <v>493</v>
      </c>
      <c r="E612" s="8">
        <f>4247.18</f>
        <v>4247.18</v>
      </c>
      <c r="F612" s="8">
        <f>4247.18</f>
        <v>4247.18</v>
      </c>
      <c r="G612" s="12" t="s">
        <v>550</v>
      </c>
      <c r="H612" s="13">
        <f>4247.18</f>
        <v>4247.18</v>
      </c>
    </row>
    <row r="613" spans="1:8" x14ac:dyDescent="0.25">
      <c r="A613" s="42"/>
      <c r="B613" s="44"/>
      <c r="C613" s="9" t="s">
        <v>725</v>
      </c>
      <c r="D613" s="7" t="s">
        <v>460</v>
      </c>
      <c r="E613" s="8">
        <f>6930</f>
        <v>6930</v>
      </c>
      <c r="F613" s="8">
        <f>6930</f>
        <v>6930</v>
      </c>
      <c r="G613" s="12" t="s">
        <v>550</v>
      </c>
      <c r="H613" s="13">
        <f>6930</f>
        <v>6930</v>
      </c>
    </row>
    <row r="614" spans="1:8" ht="24" x14ac:dyDescent="0.25">
      <c r="A614" s="42"/>
      <c r="B614" s="44"/>
      <c r="C614" s="9" t="s">
        <v>726</v>
      </c>
      <c r="D614" s="7" t="s">
        <v>494</v>
      </c>
      <c r="E614" s="8">
        <f>0</f>
        <v>0</v>
      </c>
      <c r="F614" s="8">
        <f>0</f>
        <v>0</v>
      </c>
      <c r="G614" s="12" t="s">
        <v>10</v>
      </c>
      <c r="H614" s="13">
        <f>0</f>
        <v>0</v>
      </c>
    </row>
    <row r="615" spans="1:8" ht="24" x14ac:dyDescent="0.25">
      <c r="A615" s="42"/>
      <c r="B615" s="44"/>
      <c r="C615" s="9" t="s">
        <v>727</v>
      </c>
      <c r="D615" s="7" t="s">
        <v>495</v>
      </c>
      <c r="E615" s="8">
        <f>2313.95</f>
        <v>2313.9499999999998</v>
      </c>
      <c r="F615" s="8">
        <f>2313.95</f>
        <v>2313.9499999999998</v>
      </c>
      <c r="G615" s="12" t="s">
        <v>550</v>
      </c>
      <c r="H615" s="13">
        <f>2313.95</f>
        <v>2313.9499999999998</v>
      </c>
    </row>
    <row r="616" spans="1:8" ht="24" x14ac:dyDescent="0.25">
      <c r="A616" s="42"/>
      <c r="B616" s="44"/>
      <c r="C616" s="9" t="s">
        <v>728</v>
      </c>
      <c r="D616" s="7" t="s">
        <v>496</v>
      </c>
      <c r="E616" s="8">
        <f>1481</f>
        <v>1481</v>
      </c>
      <c r="F616" s="8">
        <f>1481</f>
        <v>1481</v>
      </c>
      <c r="G616" s="12" t="s">
        <v>550</v>
      </c>
      <c r="H616" s="13">
        <f>1481</f>
        <v>1481</v>
      </c>
    </row>
    <row r="617" spans="1:8" x14ac:dyDescent="0.25">
      <c r="A617" s="42"/>
      <c r="B617" s="44"/>
      <c r="C617" s="9" t="s">
        <v>729</v>
      </c>
      <c r="D617" s="7" t="s">
        <v>730</v>
      </c>
      <c r="E617" s="8">
        <f>3547.39</f>
        <v>3547.39</v>
      </c>
      <c r="F617" s="8">
        <f>3547.39</f>
        <v>3547.39</v>
      </c>
      <c r="G617" s="12" t="s">
        <v>550</v>
      </c>
      <c r="H617" s="13">
        <f>3547.39</f>
        <v>3547.39</v>
      </c>
    </row>
    <row r="618" spans="1:8" ht="24" x14ac:dyDescent="0.25">
      <c r="A618" s="42"/>
      <c r="B618" s="44"/>
      <c r="C618" s="9" t="s">
        <v>534</v>
      </c>
      <c r="D618" s="7" t="s">
        <v>357</v>
      </c>
      <c r="E618" s="8">
        <f>0</f>
        <v>0</v>
      </c>
      <c r="F618" s="8">
        <f>0</f>
        <v>0</v>
      </c>
      <c r="G618" s="12" t="s">
        <v>10</v>
      </c>
      <c r="H618" s="13">
        <f>0</f>
        <v>0</v>
      </c>
    </row>
    <row r="619" spans="1:8" x14ac:dyDescent="0.25">
      <c r="A619" s="42"/>
      <c r="B619" s="44"/>
      <c r="C619" s="9" t="s">
        <v>552</v>
      </c>
      <c r="D619" s="7" t="s">
        <v>358</v>
      </c>
      <c r="E619" s="8">
        <f>776.84</f>
        <v>776.84</v>
      </c>
      <c r="F619" s="8">
        <f>776.84</f>
        <v>776.84</v>
      </c>
      <c r="G619" s="12" t="s">
        <v>550</v>
      </c>
      <c r="H619" s="13">
        <f>776.84</f>
        <v>776.84</v>
      </c>
    </row>
    <row r="620" spans="1:8" x14ac:dyDescent="0.25">
      <c r="A620" s="42"/>
      <c r="B620" s="44"/>
      <c r="C620" s="9" t="s">
        <v>553</v>
      </c>
      <c r="D620" s="7" t="s">
        <v>359</v>
      </c>
      <c r="E620" s="8">
        <f>1492.67</f>
        <v>1492.67</v>
      </c>
      <c r="F620" s="8">
        <f>1492.66</f>
        <v>1492.66</v>
      </c>
      <c r="G620" s="12" t="s">
        <v>550</v>
      </c>
      <c r="H620" s="13">
        <f>1492.66</f>
        <v>1492.66</v>
      </c>
    </row>
    <row r="621" spans="1:8" ht="24" x14ac:dyDescent="0.25">
      <c r="A621" s="42"/>
      <c r="B621" s="44"/>
      <c r="C621" s="5" t="s">
        <v>25</v>
      </c>
      <c r="D621" s="5" t="s">
        <v>497</v>
      </c>
      <c r="E621" s="6">
        <f>E622+E625</f>
        <v>31240</v>
      </c>
      <c r="F621" s="6">
        <f>F622+F625</f>
        <v>30959.78</v>
      </c>
      <c r="G621" s="10" t="s">
        <v>915</v>
      </c>
      <c r="H621" s="11">
        <f>H622+H625</f>
        <v>30959.78</v>
      </c>
    </row>
    <row r="622" spans="1:8" ht="24" x14ac:dyDescent="0.25">
      <c r="A622" s="42"/>
      <c r="B622" s="44"/>
      <c r="C622" s="7" t="s">
        <v>21</v>
      </c>
      <c r="D622" s="7" t="s">
        <v>360</v>
      </c>
      <c r="E622" s="8">
        <f>E623+E624</f>
        <v>31240</v>
      </c>
      <c r="F622" s="8">
        <f>F623+F624</f>
        <v>30959.78</v>
      </c>
      <c r="G622" s="12" t="s">
        <v>915</v>
      </c>
      <c r="H622" s="13">
        <f>H623+H624</f>
        <v>30959.78</v>
      </c>
    </row>
    <row r="623" spans="1:8" x14ac:dyDescent="0.25">
      <c r="A623" s="42"/>
      <c r="B623" s="44"/>
      <c r="C623" s="9" t="s">
        <v>525</v>
      </c>
      <c r="D623" s="7" t="s">
        <v>361</v>
      </c>
      <c r="E623" s="8">
        <f>3279.42+11559.58+16401</f>
        <v>31240</v>
      </c>
      <c r="F623" s="8">
        <f>3216.2+11342.58+16401</f>
        <v>30959.78</v>
      </c>
      <c r="G623" s="12" t="s">
        <v>915</v>
      </c>
      <c r="H623" s="13">
        <f>3216.2+11342.58+16401</f>
        <v>30959.78</v>
      </c>
    </row>
    <row r="624" spans="1:8" ht="24" x14ac:dyDescent="0.25">
      <c r="A624" s="42"/>
      <c r="B624" s="44"/>
      <c r="C624" s="9" t="s">
        <v>529</v>
      </c>
      <c r="D624" s="7" t="s">
        <v>362</v>
      </c>
      <c r="E624" s="8">
        <f>0</f>
        <v>0</v>
      </c>
      <c r="F624" s="8">
        <f>0</f>
        <v>0</v>
      </c>
      <c r="G624" s="12" t="s">
        <v>10</v>
      </c>
      <c r="H624" s="13">
        <f>0</f>
        <v>0</v>
      </c>
    </row>
    <row r="625" spans="1:8" ht="36" x14ac:dyDescent="0.25">
      <c r="A625" s="42"/>
      <c r="B625" s="44"/>
      <c r="C625" s="7" t="s">
        <v>36</v>
      </c>
      <c r="D625" s="7" t="s">
        <v>385</v>
      </c>
      <c r="E625" s="8">
        <f>E626</f>
        <v>0</v>
      </c>
      <c r="F625" s="8">
        <f>F626</f>
        <v>0</v>
      </c>
      <c r="G625" s="12" t="s">
        <v>10</v>
      </c>
      <c r="H625" s="13">
        <f>H626</f>
        <v>0</v>
      </c>
    </row>
    <row r="626" spans="1:8" ht="24" x14ac:dyDescent="0.25">
      <c r="A626" s="42"/>
      <c r="B626" s="44"/>
      <c r="C626" s="9" t="s">
        <v>540</v>
      </c>
      <c r="D626" s="7" t="s">
        <v>916</v>
      </c>
      <c r="E626" s="8">
        <f>0</f>
        <v>0</v>
      </c>
      <c r="F626" s="8">
        <f>0</f>
        <v>0</v>
      </c>
      <c r="G626" s="12" t="s">
        <v>10</v>
      </c>
      <c r="H626" s="13">
        <f>0</f>
        <v>0</v>
      </c>
    </row>
    <row r="627" spans="1:8" ht="17.45" customHeight="1" thickBot="1" x14ac:dyDescent="0.3">
      <c r="A627" s="45" t="s">
        <v>18</v>
      </c>
      <c r="B627" s="46"/>
      <c r="C627" s="46"/>
      <c r="D627" s="46"/>
      <c r="E627" s="32">
        <f>E539+E605+E621</f>
        <v>328342.5</v>
      </c>
      <c r="F627" s="29">
        <f>F539+F605+F621</f>
        <v>281720.94999999995</v>
      </c>
      <c r="G627" s="30" t="s">
        <v>753</v>
      </c>
      <c r="H627" s="31">
        <f>H539+H605+H621</f>
        <v>281720.94999999995</v>
      </c>
    </row>
    <row r="628" spans="1:8" ht="15" customHeight="1" x14ac:dyDescent="0.25">
      <c r="A628" s="49">
        <v>18</v>
      </c>
      <c r="B628" s="43" t="s">
        <v>363</v>
      </c>
      <c r="C628" s="5" t="s">
        <v>8</v>
      </c>
      <c r="D628" s="5" t="s">
        <v>448</v>
      </c>
      <c r="E628" s="15">
        <f>E629</f>
        <v>976000</v>
      </c>
      <c r="F628" s="15">
        <f>F629</f>
        <v>917888.41</v>
      </c>
      <c r="G628" s="16" t="s">
        <v>917</v>
      </c>
      <c r="H628" s="17">
        <f>H629</f>
        <v>917888.41</v>
      </c>
    </row>
    <row r="629" spans="1:8" ht="24" x14ac:dyDescent="0.25">
      <c r="A629" s="50"/>
      <c r="B629" s="44"/>
      <c r="C629" s="7" t="s">
        <v>36</v>
      </c>
      <c r="D629" s="7" t="s">
        <v>449</v>
      </c>
      <c r="E629" s="8">
        <f>E630</f>
        <v>976000</v>
      </c>
      <c r="F629" s="8">
        <f>F630</f>
        <v>917888.41</v>
      </c>
      <c r="G629" s="12" t="s">
        <v>917</v>
      </c>
      <c r="H629" s="13">
        <f>H630</f>
        <v>917888.41</v>
      </c>
    </row>
    <row r="630" spans="1:8" x14ac:dyDescent="0.25">
      <c r="A630" s="50"/>
      <c r="B630" s="44"/>
      <c r="C630" s="9" t="s">
        <v>543</v>
      </c>
      <c r="D630" s="7" t="s">
        <v>450</v>
      </c>
      <c r="E630" s="8">
        <f>976000</f>
        <v>976000</v>
      </c>
      <c r="F630" s="8">
        <f>917888.41</f>
        <v>917888.41</v>
      </c>
      <c r="G630" s="12" t="s">
        <v>917</v>
      </c>
      <c r="H630" s="13">
        <f>917888.41</f>
        <v>917888.41</v>
      </c>
    </row>
    <row r="631" spans="1:8" ht="24" x14ac:dyDescent="0.25">
      <c r="A631" s="50"/>
      <c r="B631" s="44"/>
      <c r="C631" s="5" t="s">
        <v>20</v>
      </c>
      <c r="D631" s="5" t="s">
        <v>364</v>
      </c>
      <c r="E631" s="6">
        <f>E632</f>
        <v>0</v>
      </c>
      <c r="F631" s="6">
        <f>F632</f>
        <v>0</v>
      </c>
      <c r="G631" s="10" t="s">
        <v>10</v>
      </c>
      <c r="H631" s="11">
        <f>H632</f>
        <v>0</v>
      </c>
    </row>
    <row r="632" spans="1:8" ht="24" x14ac:dyDescent="0.25">
      <c r="A632" s="50"/>
      <c r="B632" s="44"/>
      <c r="C632" s="7" t="s">
        <v>451</v>
      </c>
      <c r="D632" s="7" t="s">
        <v>85</v>
      </c>
      <c r="E632" s="8">
        <f>0</f>
        <v>0</v>
      </c>
      <c r="F632" s="8">
        <f>0</f>
        <v>0</v>
      </c>
      <c r="G632" s="12" t="s">
        <v>10</v>
      </c>
      <c r="H632" s="13">
        <f>0</f>
        <v>0</v>
      </c>
    </row>
    <row r="633" spans="1:8" ht="16.149999999999999" customHeight="1" x14ac:dyDescent="0.25">
      <c r="A633" s="50"/>
      <c r="B633" s="44"/>
      <c r="C633" s="5" t="s">
        <v>25</v>
      </c>
      <c r="D633" s="5" t="s">
        <v>365</v>
      </c>
      <c r="E633" s="6">
        <f>E634+E636</f>
        <v>33826.759999999995</v>
      </c>
      <c r="F633" s="6">
        <f>F634+F636</f>
        <v>33824.550000000003</v>
      </c>
      <c r="G633" s="10" t="s">
        <v>550</v>
      </c>
      <c r="H633" s="11">
        <f>H634+H636</f>
        <v>33824.550000000003</v>
      </c>
    </row>
    <row r="634" spans="1:8" ht="24" x14ac:dyDescent="0.25">
      <c r="A634" s="50"/>
      <c r="B634" s="44"/>
      <c r="C634" s="7" t="s">
        <v>21</v>
      </c>
      <c r="D634" s="7" t="s">
        <v>366</v>
      </c>
      <c r="E634" s="8">
        <f>E635</f>
        <v>33826.759999999995</v>
      </c>
      <c r="F634" s="8">
        <f>F635</f>
        <v>33824.550000000003</v>
      </c>
      <c r="G634" s="12" t="s">
        <v>550</v>
      </c>
      <c r="H634" s="13">
        <f>H635</f>
        <v>33824.550000000003</v>
      </c>
    </row>
    <row r="635" spans="1:8" ht="24" x14ac:dyDescent="0.25">
      <c r="A635" s="50"/>
      <c r="B635" s="44"/>
      <c r="C635" s="9" t="s">
        <v>525</v>
      </c>
      <c r="D635" s="7" t="s">
        <v>367</v>
      </c>
      <c r="E635" s="8">
        <f>33677.17+149.59</f>
        <v>33826.759999999995</v>
      </c>
      <c r="F635" s="8">
        <f>33674.97+149.58</f>
        <v>33824.550000000003</v>
      </c>
      <c r="G635" s="12" t="s">
        <v>550</v>
      </c>
      <c r="H635" s="13">
        <f>33674.97+149.58</f>
        <v>33824.550000000003</v>
      </c>
    </row>
    <row r="636" spans="1:8" ht="24" x14ac:dyDescent="0.25">
      <c r="A636" s="50"/>
      <c r="B636" s="44"/>
      <c r="C636" s="7" t="s">
        <v>395</v>
      </c>
      <c r="D636" s="7" t="s">
        <v>81</v>
      </c>
      <c r="E636" s="8">
        <f>E637</f>
        <v>0</v>
      </c>
      <c r="F636" s="8">
        <f>F637</f>
        <v>0</v>
      </c>
      <c r="G636" s="12" t="s">
        <v>10</v>
      </c>
      <c r="H636" s="13">
        <f>H637</f>
        <v>0</v>
      </c>
    </row>
    <row r="637" spans="1:8" ht="24" x14ac:dyDescent="0.25">
      <c r="A637" s="50"/>
      <c r="B637" s="44"/>
      <c r="C637" s="9" t="s">
        <v>731</v>
      </c>
      <c r="D637" s="7" t="s">
        <v>368</v>
      </c>
      <c r="E637" s="8">
        <f>0</f>
        <v>0</v>
      </c>
      <c r="F637" s="8">
        <f>0</f>
        <v>0</v>
      </c>
      <c r="G637" s="12" t="s">
        <v>10</v>
      </c>
      <c r="H637" s="13">
        <f>0</f>
        <v>0</v>
      </c>
    </row>
    <row r="638" spans="1:8" ht="24" x14ac:dyDescent="0.25">
      <c r="A638" s="50"/>
      <c r="B638" s="44"/>
      <c r="C638" s="5" t="s">
        <v>13</v>
      </c>
      <c r="D638" s="5" t="s">
        <v>369</v>
      </c>
      <c r="E638" s="6">
        <f>E639+E640</f>
        <v>0</v>
      </c>
      <c r="F638" s="6">
        <f>F639+F640</f>
        <v>0</v>
      </c>
      <c r="G638" s="10" t="s">
        <v>10</v>
      </c>
      <c r="H638" s="11">
        <f>H639+H640</f>
        <v>0</v>
      </c>
    </row>
    <row r="639" spans="1:8" ht="24" x14ac:dyDescent="0.25">
      <c r="A639" s="50"/>
      <c r="B639" s="44"/>
      <c r="C639" s="7" t="s">
        <v>21</v>
      </c>
      <c r="D639" s="7" t="s">
        <v>370</v>
      </c>
      <c r="E639" s="8">
        <f>0</f>
        <v>0</v>
      </c>
      <c r="F639" s="8">
        <f>0</f>
        <v>0</v>
      </c>
      <c r="G639" s="12" t="s">
        <v>10</v>
      </c>
      <c r="H639" s="13">
        <f>0</f>
        <v>0</v>
      </c>
    </row>
    <row r="640" spans="1:8" ht="24" x14ac:dyDescent="0.25">
      <c r="A640" s="50"/>
      <c r="B640" s="44"/>
      <c r="C640" s="7" t="s">
        <v>452</v>
      </c>
      <c r="D640" s="7" t="s">
        <v>371</v>
      </c>
      <c r="E640" s="8">
        <f>0</f>
        <v>0</v>
      </c>
      <c r="F640" s="8">
        <f>0</f>
        <v>0</v>
      </c>
      <c r="G640" s="12" t="s">
        <v>10</v>
      </c>
      <c r="H640" s="13">
        <f>0</f>
        <v>0</v>
      </c>
    </row>
    <row r="641" spans="1:8" ht="15.75" thickBot="1" x14ac:dyDescent="0.3">
      <c r="A641" s="38" t="s">
        <v>18</v>
      </c>
      <c r="B641" s="39"/>
      <c r="C641" s="39"/>
      <c r="D641" s="40"/>
      <c r="E641" s="32">
        <f>E628+E631+E633+E638</f>
        <v>1009826.76</v>
      </c>
      <c r="F641" s="29">
        <f>F628+F631+F633+F638</f>
        <v>951712.96000000008</v>
      </c>
      <c r="G641" s="30" t="s">
        <v>918</v>
      </c>
      <c r="H641" s="31">
        <f>H628+H631+H633+H638</f>
        <v>951712.96000000008</v>
      </c>
    </row>
    <row r="645" spans="1:8" x14ac:dyDescent="0.25">
      <c r="D645" s="33"/>
    </row>
    <row r="646" spans="1:8" ht="18.75" x14ac:dyDescent="0.3">
      <c r="E646" s="35"/>
      <c r="F646" s="35"/>
    </row>
    <row r="647" spans="1:8" ht="18.75" x14ac:dyDescent="0.3">
      <c r="E647" s="36"/>
      <c r="F647" s="36"/>
    </row>
    <row r="648" spans="1:8" ht="18.75" x14ac:dyDescent="0.3">
      <c r="E648" s="36"/>
      <c r="F648" s="36"/>
    </row>
    <row r="649" spans="1:8" ht="18.75" x14ac:dyDescent="0.3">
      <c r="E649" s="36"/>
      <c r="F649" s="36"/>
    </row>
  </sheetData>
  <mergeCells count="55">
    <mergeCell ref="A119:D119"/>
    <mergeCell ref="A5:A11"/>
    <mergeCell ref="B5:B11"/>
    <mergeCell ref="A12:D12"/>
    <mergeCell ref="A13:A54"/>
    <mergeCell ref="B13:B54"/>
    <mergeCell ref="A55:D55"/>
    <mergeCell ref="A56:A118"/>
    <mergeCell ref="B56:B118"/>
    <mergeCell ref="A172:D172"/>
    <mergeCell ref="A179:D179"/>
    <mergeCell ref="A180:A190"/>
    <mergeCell ref="B180:B190"/>
    <mergeCell ref="A173:A178"/>
    <mergeCell ref="B173:B178"/>
    <mergeCell ref="A120:A153"/>
    <mergeCell ref="B120:B153"/>
    <mergeCell ref="A154:D154"/>
    <mergeCell ref="A155:A171"/>
    <mergeCell ref="B155:B171"/>
    <mergeCell ref="A338:A382"/>
    <mergeCell ref="B338:B382"/>
    <mergeCell ref="A410:D410"/>
    <mergeCell ref="A411:A446"/>
    <mergeCell ref="A191:D191"/>
    <mergeCell ref="A321:D321"/>
    <mergeCell ref="A322:A336"/>
    <mergeCell ref="B322:B336"/>
    <mergeCell ref="A337:D337"/>
    <mergeCell ref="A305:D305"/>
    <mergeCell ref="A306:A320"/>
    <mergeCell ref="B306:B320"/>
    <mergeCell ref="A483:A526"/>
    <mergeCell ref="B483:B526"/>
    <mergeCell ref="A383:D383"/>
    <mergeCell ref="A448:A481"/>
    <mergeCell ref="B448:B481"/>
    <mergeCell ref="B411:B446"/>
    <mergeCell ref="A447:D447"/>
    <mergeCell ref="A1:H2"/>
    <mergeCell ref="A641:D641"/>
    <mergeCell ref="A528:A537"/>
    <mergeCell ref="B528:B537"/>
    <mergeCell ref="A538:D538"/>
    <mergeCell ref="A539:A626"/>
    <mergeCell ref="B539:B626"/>
    <mergeCell ref="A627:D627"/>
    <mergeCell ref="A482:D482"/>
    <mergeCell ref="B192:B304"/>
    <mergeCell ref="A192:A304"/>
    <mergeCell ref="A628:A640"/>
    <mergeCell ref="B628:B640"/>
    <mergeCell ref="A527:D527"/>
    <mergeCell ref="A384:A409"/>
    <mergeCell ref="B384:B409"/>
  </mergeCells>
  <pageMargins left="0" right="0" top="0" bottom="0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2022-03-05T09:12:28Z</cp:lastPrinted>
  <dcterms:created xsi:type="dcterms:W3CDTF">2020-07-31T08:15:26Z</dcterms:created>
  <dcterms:modified xsi:type="dcterms:W3CDTF">2025-01-15T11:43:47Z</dcterms:modified>
</cp:coreProperties>
</file>